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Waterfall" sheetId="1" r:id="rId1"/>
  </sheets>
  <definedNames>
    <definedName name="developer_share_final" localSheetId="0">'Waterfall'!$D$22</definedName>
    <definedName name="developer_share_hurdle1" localSheetId="0">'Waterfall'!$D$12</definedName>
    <definedName name="developer_share_hurdle2" localSheetId="0">'Waterfall'!$D$16</definedName>
    <definedName name="developer_share_hurdle3" localSheetId="0">'Waterfall'!$D$19</definedName>
    <definedName name="developer_share_pref_return" localSheetId="0">'Waterfall'!$D$7</definedName>
    <definedName name="hurdle1_rate" localSheetId="0">'Waterfall'!$B$12</definedName>
    <definedName name="hurdle2_rate" localSheetId="0">'Waterfall'!$B$16</definedName>
    <definedName name="hurdle3_rate" localSheetId="0">'Waterfall'!$B$19</definedName>
    <definedName name="investor_share_final" localSheetId="0">'Waterfall'!$C$22</definedName>
    <definedName name="investor_share_hurdle1" localSheetId="0">'Waterfall'!$C$12</definedName>
    <definedName name="investor_share_hurdle2" localSheetId="0">'Waterfall'!$C$16</definedName>
    <definedName name="investor_share_hurdle3" localSheetId="0">'Waterfall'!$C$19</definedName>
    <definedName name="investor_share_pref_return" localSheetId="0">'Waterfall'!$C$7</definedName>
    <definedName name="preferred_return" localSheetId="0">'Waterfall'!$B$7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Amit Tandon</author>
  </authors>
  <commentList>
    <comment ref="G5" authorId="0">
      <text>
        <r>
          <rPr>
            <b/>
            <sz val="8"/>
            <rFont val="Tahoma"/>
            <family val="2"/>
          </rPr>
          <t>Amit Tandon:</t>
        </r>
        <r>
          <rPr>
            <sz val="8"/>
            <rFont val="Tahoma"/>
            <family val="2"/>
          </rPr>
          <t xml:space="preserve">
Annual IRR Conversion Check.</t>
        </r>
      </text>
    </comment>
    <comment ref="B4" authorId="0">
      <text>
        <r>
          <rPr>
            <b/>
            <sz val="8"/>
            <rFont val="Tahoma"/>
            <family val="2"/>
          </rPr>
          <t>Amit Tandon:</t>
        </r>
        <r>
          <rPr>
            <sz val="8"/>
            <rFont val="Tahoma"/>
            <family val="2"/>
          </rPr>
          <t xml:space="preserve">
Target Annual IRR.</t>
        </r>
      </text>
    </comment>
  </commentList>
</comments>
</file>

<file path=xl/sharedStrings.xml><?xml version="1.0" encoding="utf-8"?>
<sst xmlns="http://schemas.openxmlformats.org/spreadsheetml/2006/main" count="52" uniqueCount="42">
  <si>
    <t>Cash Flow</t>
  </si>
  <si>
    <t>Developer</t>
  </si>
  <si>
    <t>Hurdle 1</t>
  </si>
  <si>
    <t>Hurdle 2</t>
  </si>
  <si>
    <t>Hurdle 3</t>
  </si>
  <si>
    <t>Equity Contribution</t>
  </si>
  <si>
    <t>Investor</t>
  </si>
  <si>
    <t>Preferred Return</t>
  </si>
  <si>
    <t>Both parties get return of capital pari passu.</t>
  </si>
  <si>
    <t>Technically, the preferred return rate is the first hurdle, and all dollars necessary to return the pref yield is split "equally" ie. proportional to their respective equity contributions.</t>
  </si>
  <si>
    <t>Final Split</t>
  </si>
  <si>
    <t>Cash Flow Waterfall (Real Estate)</t>
  </si>
  <si>
    <t>Waterfall:</t>
  </si>
  <si>
    <t>Month</t>
  </si>
  <si>
    <t>Total</t>
  </si>
  <si>
    <t>All IRR's are calculated from the very start ie. wef initial investment.</t>
  </si>
  <si>
    <t>mthly to annual</t>
  </si>
  <si>
    <t>annual to mthly</t>
  </si>
  <si>
    <t xml:space="preserve"> </t>
  </si>
  <si>
    <t>((1 + r) ^ 12 ) - 1</t>
  </si>
  <si>
    <t>(( r + 1 ) ^ 1/12) - 1</t>
  </si>
  <si>
    <t>Rate Conversion:</t>
  </si>
  <si>
    <t>NPV Check</t>
  </si>
  <si>
    <t>IRR (Mthly)</t>
  </si>
  <si>
    <t>IRR (Annual)</t>
  </si>
  <si>
    <t>Annual IRR</t>
  </si>
  <si>
    <t>Mthly IRR</t>
  </si>
  <si>
    <t>Balance - Post</t>
  </si>
  <si>
    <t>CF Available</t>
  </si>
  <si>
    <t>Check</t>
  </si>
  <si>
    <t>Waterfall Model:</t>
  </si>
  <si>
    <t xml:space="preserve">- The waterfall assumes two parties who split cash flows based on a "waterfall" structure. </t>
  </si>
  <si>
    <t xml:space="preserve">- The waterfall is really IRR hurdles which determine how cash flows at each level are split. </t>
  </si>
  <si>
    <t>- To skip a particular hurdle, enter zero values. The model is dynamic and amenable to deal variation.</t>
  </si>
  <si>
    <t>- Enter fields marked in blue font, yellow cells, ONLY. All mandatory.</t>
  </si>
  <si>
    <t>- To help us improve this model, please send your feedback to info@globaliconnect.com.</t>
  </si>
  <si>
    <t>- The Developer typically receives a disproportionate share of the cash flow after the first hurdle is hit. This is known</t>
  </si>
  <si>
    <t>- One or more -ive values (investments) are followed by +ive values (cash flows / profits). This is mandatory.</t>
  </si>
  <si>
    <t xml:space="preserve">- The waterfall structure is a typical real estate capital structure where the developer  is usually the minority investor. </t>
  </si>
  <si>
    <t>as the "promote." The fact that the developer is no longer pari-passu above the preferred implies him being "promoted".</t>
  </si>
  <si>
    <t>http://www.globaliconnect.com/excel_models.php</t>
  </si>
  <si>
    <r>
      <t xml:space="preserve">- The primary investor sets </t>
    </r>
    <r>
      <rPr>
        <b/>
        <sz val="10"/>
        <rFont val="Arial"/>
        <family val="2"/>
      </rPr>
      <t>progressive</t>
    </r>
    <r>
      <rPr>
        <sz val="10"/>
        <rFont val="Arial"/>
        <family val="2"/>
      </rPr>
      <t xml:space="preserve"> target yields (IRRs) as hurdles.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</si>
</sst>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#,##0.000_);[Red]\(#,##0.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00_);[Red]\(#,##0.000000\)"/>
    <numFmt numFmtId="172" formatCode="&quot;$&quot;#,##0.0_);[Red]\(&quot;$&quot;#,##0.0\)"/>
    <numFmt numFmtId="173" formatCode="0.000000%"/>
    <numFmt numFmtId="174" formatCode="0.00000%"/>
    <numFmt numFmtId="175" formatCode="_(* #,##0.00000_);_(* \(#,##0.00000\);_(* &quot;-&quot;?????_);_(@_)"/>
    <numFmt numFmtId="176" formatCode="_(* #,##0.0000_);_(* \(#,##0.0000\);_(* &quot;-&quot;????_);_(@_)"/>
    <numFmt numFmtId="177" formatCode="0.0000%"/>
    <numFmt numFmtId="178" formatCode="0.000%"/>
    <numFmt numFmtId="179" formatCode="#,##0.0000"/>
    <numFmt numFmtId="180" formatCode="_(* #,##0_);_(* \(#,##0\);_(* &quot;-&quot;??_);_(@_)"/>
    <numFmt numFmtId="181" formatCode="#,##0.00000000000_);[Red]\(#,##0.00000000000\)"/>
    <numFmt numFmtId="182" formatCode="#,##0.0_);[Red]\(#,##0.0\)"/>
    <numFmt numFmtId="183" formatCode="#,##0.0000_);[Red]\(#,##0.0000\)"/>
    <numFmt numFmtId="184" formatCode="#,##0.00000_);[Red]\(#,##0.00000\)"/>
    <numFmt numFmtId="185" formatCode="#,##0.0000000_);[Red]\(#,##0.0000000\)"/>
  </numFmts>
  <fonts count="5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55555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7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2" fillId="0" borderId="0" xfId="0" applyFont="1" applyAlignment="1">
      <alignment horizontal="left" indent="1"/>
    </xf>
    <xf numFmtId="0" fontId="44" fillId="0" borderId="0" xfId="53" applyAlignment="1" applyProtection="1">
      <alignment/>
      <protection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center"/>
    </xf>
    <xf numFmtId="177" fontId="7" fillId="0" borderId="0" xfId="0" applyNumberFormat="1" applyFont="1" applyAlignment="1">
      <alignment/>
    </xf>
    <xf numFmtId="0" fontId="0" fillId="0" borderId="10" xfId="0" applyBorder="1" applyAlignment="1">
      <alignment/>
    </xf>
    <xf numFmtId="3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1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53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38" fontId="7" fillId="36" borderId="15" xfId="0" applyNumberFormat="1" applyFont="1" applyFill="1" applyBorder="1" applyAlignment="1">
      <alignment/>
    </xf>
    <xf numFmtId="38" fontId="7" fillId="0" borderId="15" xfId="0" applyNumberFormat="1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5" fillId="37" borderId="13" xfId="0" applyFont="1" applyFill="1" applyBorder="1" applyAlignment="1">
      <alignment horizontal="left" indent="1"/>
    </xf>
    <xf numFmtId="0" fontId="0" fillId="37" borderId="14" xfId="0" applyFill="1" applyBorder="1" applyAlignment="1">
      <alignment/>
    </xf>
    <xf numFmtId="0" fontId="0" fillId="37" borderId="13" xfId="0" applyFill="1" applyBorder="1" applyAlignment="1">
      <alignment horizontal="left" indent="1"/>
    </xf>
    <xf numFmtId="0" fontId="0" fillId="37" borderId="13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0" fillId="37" borderId="12" xfId="0" applyFont="1" applyFill="1" applyBorder="1" applyAlignment="1" quotePrefix="1">
      <alignment horizontal="left" indent="1"/>
    </xf>
    <xf numFmtId="38" fontId="0" fillId="36" borderId="0" xfId="0" applyNumberFormat="1" applyFill="1" applyAlignment="1">
      <alignment/>
    </xf>
    <xf numFmtId="9" fontId="55" fillId="39" borderId="0" xfId="0" applyNumberFormat="1" applyFont="1" applyFill="1" applyAlignment="1">
      <alignment/>
    </xf>
    <xf numFmtId="180" fontId="56" fillId="39" borderId="0" xfId="42" applyNumberFormat="1" applyFont="1" applyFill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9" xfId="0" applyFill="1" applyBorder="1" applyAlignment="1">
      <alignment/>
    </xf>
    <xf numFmtId="0" fontId="7" fillId="0" borderId="20" xfId="0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38" fontId="7" fillId="0" borderId="2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1" fontId="7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21" xfId="0" applyNumberFormat="1" applyFont="1" applyFill="1" applyBorder="1" applyAlignment="1">
      <alignment/>
    </xf>
    <xf numFmtId="171" fontId="7" fillId="0" borderId="22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40" borderId="15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0" fillId="37" borderId="10" xfId="0" applyFont="1" applyFill="1" applyBorder="1" applyAlignment="1" quotePrefix="1">
      <alignment horizontal="left" indent="1"/>
    </xf>
    <xf numFmtId="0" fontId="0" fillId="37" borderId="20" xfId="0" applyFill="1" applyBorder="1" applyAlignment="1">
      <alignment/>
    </xf>
    <xf numFmtId="0" fontId="55" fillId="39" borderId="22" xfId="0" applyFont="1" applyFill="1" applyBorder="1" applyAlignment="1" quotePrefix="1">
      <alignment horizontal="left" indent="1"/>
    </xf>
    <xf numFmtId="0" fontId="55" fillId="39" borderId="21" xfId="0" applyFont="1" applyFill="1" applyBorder="1" applyAlignment="1">
      <alignment/>
    </xf>
    <xf numFmtId="0" fontId="55" fillId="39" borderId="23" xfId="0" applyFont="1" applyFill="1" applyBorder="1" applyAlignment="1">
      <alignment/>
    </xf>
    <xf numFmtId="0" fontId="0" fillId="37" borderId="22" xfId="0" applyFont="1" applyFill="1" applyBorder="1" applyAlignment="1">
      <alignment horizontal="left" indent="2"/>
    </xf>
    <xf numFmtId="0" fontId="7" fillId="37" borderId="21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0" fontId="7" fillId="37" borderId="16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38" fontId="7" fillId="35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0" fontId="7" fillId="0" borderId="0" xfId="0" applyNumberFormat="1" applyFont="1" applyAlignment="1">
      <alignment/>
    </xf>
    <xf numFmtId="10" fontId="0" fillId="0" borderId="0" xfId="0" applyNumberFormat="1" applyAlignment="1">
      <alignment/>
    </xf>
    <xf numFmtId="177" fontId="44" fillId="37" borderId="22" xfId="53" applyNumberFormat="1" applyFill="1" applyBorder="1" applyAlignment="1" applyProtection="1">
      <alignment horizontal="center"/>
      <protection/>
    </xf>
    <xf numFmtId="177" fontId="44" fillId="37" borderId="21" xfId="53" applyNumberFormat="1" applyFill="1" applyBorder="1" applyAlignment="1" applyProtection="1">
      <alignment horizontal="center"/>
      <protection/>
    </xf>
    <xf numFmtId="177" fontId="44" fillId="37" borderId="23" xfId="53" applyNumberFormat="1" applyFill="1" applyBorder="1" applyAlignment="1" applyProtection="1">
      <alignment horizontal="center"/>
      <protection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8" fontId="7" fillId="34" borderId="12" xfId="0" applyNumberFormat="1" applyFont="1" applyFill="1" applyBorder="1" applyAlignment="1">
      <alignment horizontal="center"/>
    </xf>
    <xf numFmtId="38" fontId="7" fillId="34" borderId="13" xfId="0" applyNumberFormat="1" applyFont="1" applyFill="1" applyBorder="1" applyAlignment="1">
      <alignment horizontal="center"/>
    </xf>
    <xf numFmtId="38" fontId="7" fillId="34" borderId="14" xfId="0" applyNumberFormat="1" applyFont="1" applyFill="1" applyBorder="1" applyAlignment="1">
      <alignment horizontal="center"/>
    </xf>
    <xf numFmtId="38" fontId="7" fillId="35" borderId="12" xfId="0" applyNumberFormat="1" applyFont="1" applyFill="1" applyBorder="1" applyAlignment="1">
      <alignment horizontal="center"/>
    </xf>
    <xf numFmtId="38" fontId="7" fillId="35" borderId="13" xfId="0" applyNumberFormat="1" applyFont="1" applyFill="1" applyBorder="1" applyAlignment="1">
      <alignment horizontal="center"/>
    </xf>
    <xf numFmtId="38" fontId="7" fillId="35" borderId="14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lobaliconnect.com/" TargetMode="External" /><Relationship Id="rId3" Type="http://schemas.openxmlformats.org/officeDocument/2006/relationships/hyperlink" Target="http://www.globaliconnec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57150</xdr:rowOff>
    </xdr:from>
    <xdr:to>
      <xdr:col>7</xdr:col>
      <xdr:colOff>485775</xdr:colOff>
      <xdr:row>2</xdr:row>
      <xdr:rowOff>28575</xdr:rowOff>
    </xdr:to>
    <xdr:pic>
      <xdr:nvPicPr>
        <xdr:cNvPr id="1" name="Picture 1" descr="gic_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571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iconnect.com/excel_models.ph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82"/>
  <sheetViews>
    <sheetView tabSelected="1" zoomScalePageLayoutView="0" workbookViewId="0" topLeftCell="A1">
      <selection activeCell="I11" sqref="I11"/>
    </sheetView>
  </sheetViews>
  <sheetFormatPr defaultColWidth="9.140625" defaultRowHeight="12.75" outlineLevelRow="1"/>
  <cols>
    <col min="1" max="1" width="18.28125" style="0" customWidth="1"/>
    <col min="2" max="2" width="11.28125" style="0" customWidth="1"/>
    <col min="3" max="3" width="12.140625" style="0" customWidth="1"/>
    <col min="4" max="4" width="14.00390625" style="0" customWidth="1"/>
    <col min="5" max="5" width="12.00390625" style="0" customWidth="1"/>
    <col min="6" max="6" width="14.28125" style="0" customWidth="1"/>
    <col min="7" max="7" width="13.8515625" style="0" customWidth="1"/>
    <col min="8" max="8" width="11.57421875" style="0" customWidth="1"/>
    <col min="9" max="9" width="11.7109375" style="0" customWidth="1"/>
    <col min="10" max="10" width="12.7109375" style="0" customWidth="1"/>
    <col min="11" max="11" width="13.28125" style="0" customWidth="1"/>
    <col min="12" max="12" width="13.00390625" style="0" customWidth="1"/>
    <col min="13" max="13" width="11.8515625" style="0" customWidth="1"/>
    <col min="14" max="14" width="11.7109375" style="0" customWidth="1"/>
    <col min="15" max="15" width="13.28125" style="0" customWidth="1"/>
    <col min="16" max="16" width="13.00390625" style="0" customWidth="1"/>
    <col min="17" max="17" width="12.7109375" style="0" customWidth="1"/>
    <col min="18" max="18" width="12.28125" style="0" customWidth="1"/>
    <col min="19" max="19" width="11.57421875" style="0" customWidth="1"/>
    <col min="20" max="20" width="13.7109375" style="0" customWidth="1"/>
    <col min="21" max="21" width="12.7109375" style="0" customWidth="1"/>
    <col min="22" max="22" width="12.57421875" style="0" customWidth="1"/>
    <col min="23" max="23" width="12.140625" style="0" customWidth="1"/>
    <col min="24" max="24" width="12.8515625" style="0" customWidth="1"/>
    <col min="25" max="25" width="11.421875" style="0" customWidth="1"/>
  </cols>
  <sheetData>
    <row r="1" spans="4:9" ht="12.75">
      <c r="D1" s="10" t="s">
        <v>18</v>
      </c>
      <c r="F1" s="61"/>
      <c r="G1" s="86"/>
      <c r="H1" s="86"/>
      <c r="I1" s="62"/>
    </row>
    <row r="2" spans="1:9" ht="15.75">
      <c r="A2" s="24" t="s">
        <v>11</v>
      </c>
      <c r="B2" s="25"/>
      <c r="C2" s="26"/>
      <c r="F2" s="63"/>
      <c r="G2" s="60"/>
      <c r="H2" s="60"/>
      <c r="I2" s="64"/>
    </row>
    <row r="3" spans="2:15" ht="12.75">
      <c r="B3" s="4"/>
      <c r="F3" s="99" t="s">
        <v>40</v>
      </c>
      <c r="G3" s="100"/>
      <c r="H3" s="100"/>
      <c r="I3" s="101"/>
      <c r="O3" s="12"/>
    </row>
    <row r="4" spans="2:15" ht="12.75">
      <c r="B4" s="41" t="s">
        <v>25</v>
      </c>
      <c r="C4" s="42" t="s">
        <v>6</v>
      </c>
      <c r="D4" s="43" t="s">
        <v>1</v>
      </c>
      <c r="E4" s="4"/>
      <c r="O4" s="12"/>
    </row>
    <row r="5" spans="1:15" ht="12.75">
      <c r="A5" s="40" t="s">
        <v>5</v>
      </c>
      <c r="C5" s="58">
        <v>0.9</v>
      </c>
      <c r="D5" s="6">
        <f>1-C5</f>
        <v>0.09999999999999998</v>
      </c>
      <c r="E5" s="6"/>
      <c r="F5" s="44" t="s">
        <v>26</v>
      </c>
      <c r="G5" s="45" t="s">
        <v>25</v>
      </c>
      <c r="H5" s="17"/>
      <c r="J5" s="118" t="s">
        <v>21</v>
      </c>
      <c r="K5" s="119"/>
      <c r="L5" s="119"/>
      <c r="M5" s="120"/>
      <c r="O5" s="12"/>
    </row>
    <row r="6" spans="3:33" ht="12.75">
      <c r="C6" s="1"/>
      <c r="D6" s="1"/>
      <c r="E6" s="1"/>
      <c r="F6" s="11"/>
      <c r="G6" s="9"/>
      <c r="H6" s="9"/>
      <c r="J6" s="110" t="s">
        <v>16</v>
      </c>
      <c r="K6" s="111"/>
      <c r="L6" s="108" t="s">
        <v>19</v>
      </c>
      <c r="M6" s="109"/>
      <c r="O6" s="13"/>
      <c r="AG6" s="10"/>
    </row>
    <row r="7" spans="1:33" ht="12.75">
      <c r="A7" s="40" t="s">
        <v>7</v>
      </c>
      <c r="B7" s="58">
        <v>0.11</v>
      </c>
      <c r="C7" s="6">
        <f>C5</f>
        <v>0.9</v>
      </c>
      <c r="D7" s="6">
        <f>D5</f>
        <v>0.09999999999999998</v>
      </c>
      <c r="E7" s="6"/>
      <c r="F7" s="18">
        <f>((preferred_return/1+1)^(1/12))-1</f>
        <v>0.008734593823551906</v>
      </c>
      <c r="G7" s="97">
        <f>(1+F7)^12-1</f>
        <v>0.10999999999999965</v>
      </c>
      <c r="H7" s="11"/>
      <c r="J7" s="110" t="s">
        <v>17</v>
      </c>
      <c r="K7" s="111"/>
      <c r="L7" s="108" t="s">
        <v>20</v>
      </c>
      <c r="M7" s="109"/>
      <c r="O7" s="13"/>
      <c r="AG7" s="13"/>
    </row>
    <row r="8" spans="1:33" ht="12.75" outlineLevel="1">
      <c r="A8" s="3" t="s">
        <v>8</v>
      </c>
      <c r="C8" s="1"/>
      <c r="D8" s="1"/>
      <c r="E8" s="1"/>
      <c r="F8" s="11"/>
      <c r="G8" s="98"/>
      <c r="O8" s="12"/>
      <c r="AG8" s="13"/>
    </row>
    <row r="9" spans="1:15" ht="12.75" outlineLevel="1">
      <c r="A9" s="3" t="s">
        <v>9</v>
      </c>
      <c r="C9" s="1"/>
      <c r="D9" s="1"/>
      <c r="E9" s="1"/>
      <c r="F9" s="11"/>
      <c r="G9" s="98"/>
      <c r="O9" s="12"/>
    </row>
    <row r="10" spans="1:33" ht="12.75" outlineLevel="1">
      <c r="A10" s="3" t="str">
        <f>"In a pari-passu deal, all dollars distributed are split at the same ratio as invested up to the preferred return rate, ie. until each receives a "&amp;TEXT(preferred_return,"0%")&amp;" annual yield."</f>
        <v>In a pari-passu deal, all dollars distributed are split at the same ratio as invested up to the preferred return rate, ie. until each receives a 11% annual yield.</v>
      </c>
      <c r="C10" s="1"/>
      <c r="D10" s="1"/>
      <c r="E10" s="1"/>
      <c r="F10" s="11"/>
      <c r="G10" s="98"/>
      <c r="O10" s="12"/>
      <c r="AG10" s="10"/>
    </row>
    <row r="11" spans="3:15" ht="12.75">
      <c r="C11" s="1"/>
      <c r="D11" s="1"/>
      <c r="E11" s="1"/>
      <c r="F11" s="11"/>
      <c r="G11" s="98"/>
      <c r="O11" s="12"/>
    </row>
    <row r="12" spans="1:33" ht="12.75">
      <c r="A12" s="40" t="s">
        <v>2</v>
      </c>
      <c r="B12" s="58">
        <v>0.15</v>
      </c>
      <c r="C12" s="58">
        <v>0.65</v>
      </c>
      <c r="D12" s="6">
        <f>1-C12</f>
        <v>0.35</v>
      </c>
      <c r="E12" s="6"/>
      <c r="F12" s="18">
        <f>((hurdle1_rate/1+1)^(1/12))-1</f>
        <v>0.01171491691985338</v>
      </c>
      <c r="G12" s="97">
        <f>(1+F12)^12-1</f>
        <v>0.15000000000000147</v>
      </c>
      <c r="O12" s="13"/>
      <c r="AG12" s="15"/>
    </row>
    <row r="13" spans="1:33" ht="12.75" outlineLevel="1">
      <c r="A13" s="3" t="str">
        <f>A12&amp;" (after the return of equity to both investors &amp; preferred return), the Investor receives "&amp;TEXT(investor_share_hurdle1,"0%")&amp;" of the monthly cash flows until the Investor achieves "&amp;TEXT(hurdle1_rate,"0%")&amp;" IRR."</f>
        <v>Hurdle 1 (after the return of equity to both investors &amp; preferred return), the Investor receives 65% of the monthly cash flows until the Investor achieves 15% IRR.</v>
      </c>
      <c r="B13" s="1"/>
      <c r="C13" s="1"/>
      <c r="D13" s="1"/>
      <c r="E13" s="1"/>
      <c r="F13" s="11"/>
      <c r="G13" s="98"/>
      <c r="O13" s="12"/>
      <c r="AG13" s="13"/>
    </row>
    <row r="14" spans="1:33" ht="12.75" outlineLevel="1">
      <c r="A14" s="3" t="s">
        <v>15</v>
      </c>
      <c r="B14" s="1"/>
      <c r="C14" s="1"/>
      <c r="D14" s="1"/>
      <c r="E14" s="1"/>
      <c r="F14" s="11"/>
      <c r="G14" s="98"/>
      <c r="O14" s="16"/>
      <c r="AG14" s="13"/>
    </row>
    <row r="15" spans="2:15" ht="12.75" customHeight="1">
      <c r="B15" s="1"/>
      <c r="C15" s="1"/>
      <c r="D15" s="1"/>
      <c r="E15" s="1"/>
      <c r="F15" s="11"/>
      <c r="G15" s="98"/>
      <c r="J15" s="54" t="s">
        <v>30</v>
      </c>
      <c r="K15" s="55"/>
      <c r="O15" s="14"/>
    </row>
    <row r="16" spans="1:33" ht="12.75">
      <c r="A16" s="40" t="s">
        <v>3</v>
      </c>
      <c r="B16" s="58">
        <v>0.18</v>
      </c>
      <c r="C16" s="58">
        <v>0.6</v>
      </c>
      <c r="D16" s="6">
        <f>1-C16</f>
        <v>0.4</v>
      </c>
      <c r="E16" s="6"/>
      <c r="F16" s="18">
        <f>((hurdle2_rate/1+1)^(1/12))-1</f>
        <v>0.01388843034840992</v>
      </c>
      <c r="G16" s="97">
        <f>(1+F16)^12-1</f>
        <v>0.17999999999999816</v>
      </c>
      <c r="J16" s="56" t="s">
        <v>31</v>
      </c>
      <c r="K16" s="49"/>
      <c r="L16" s="49"/>
      <c r="M16" s="49"/>
      <c r="N16" s="49"/>
      <c r="O16" s="52"/>
      <c r="P16" s="49"/>
      <c r="Q16" s="51"/>
      <c r="AG16" s="10"/>
    </row>
    <row r="17" spans="1:17" ht="12.75">
      <c r="A17" s="3" t="str">
        <f>A16&amp;" (after "&amp;A12&amp;" is completed), the Investor receives "&amp;TEXT(investor_share_hurdle2,"0%")&amp;" of the monthly cash flows until the Investor achieves "&amp;TEXT(hurdle2_rate,"0%")&amp;" IRR."</f>
        <v>Hurdle 2 (after Hurdle 1 is completed), the Investor receives 60% of the monthly cash flows until the Investor achieves 18% IRR.</v>
      </c>
      <c r="B17" s="1"/>
      <c r="C17" s="1"/>
      <c r="D17" s="1"/>
      <c r="E17" s="1"/>
      <c r="F17" s="11"/>
      <c r="G17" s="98"/>
      <c r="J17" s="56" t="s">
        <v>32</v>
      </c>
      <c r="K17" s="48"/>
      <c r="L17" s="49"/>
      <c r="M17" s="49"/>
      <c r="N17" s="49"/>
      <c r="O17" s="50"/>
      <c r="P17" s="49"/>
      <c r="Q17" s="51"/>
    </row>
    <row r="18" spans="2:17" ht="12.75">
      <c r="B18" s="1"/>
      <c r="C18" s="1"/>
      <c r="D18" s="1"/>
      <c r="E18" s="1"/>
      <c r="F18" s="11"/>
      <c r="G18" s="98"/>
      <c r="J18" s="56" t="s">
        <v>38</v>
      </c>
      <c r="K18" s="49"/>
      <c r="L18" s="49"/>
      <c r="M18" s="49"/>
      <c r="N18" s="49"/>
      <c r="O18" s="53"/>
      <c r="P18" s="49"/>
      <c r="Q18" s="51"/>
    </row>
    <row r="19" spans="1:17" ht="12.75">
      <c r="A19" s="40" t="s">
        <v>4</v>
      </c>
      <c r="B19" s="58">
        <v>0.24</v>
      </c>
      <c r="C19" s="58">
        <v>0.55</v>
      </c>
      <c r="D19" s="6">
        <f>1-C19</f>
        <v>0.44999999999999996</v>
      </c>
      <c r="E19" s="6"/>
      <c r="F19" s="18">
        <f>((hurdle3_rate/1+1)^(1/12))-1</f>
        <v>0.018087582483510722</v>
      </c>
      <c r="G19" s="97">
        <f>(1+F19)^12-1</f>
        <v>0.24000000000000132</v>
      </c>
      <c r="J19" s="85" t="s">
        <v>41</v>
      </c>
      <c r="K19" s="86"/>
      <c r="L19" s="86"/>
      <c r="M19" s="86"/>
      <c r="N19" s="86"/>
      <c r="O19" s="86"/>
      <c r="P19" s="86"/>
      <c r="Q19" s="62"/>
    </row>
    <row r="20" spans="1:17" ht="12.75">
      <c r="A20" s="3" t="str">
        <f>A19&amp;" (after "&amp;A16&amp;" is completed), the Investor receives "&amp;TEXT(investor_share_hurdle3,"0%")&amp;" of the monthly cash flows until the Investor achieves "&amp;TEXT(hurdle3_rate,"0%")&amp;" IRR."</f>
        <v>Hurdle 3 (after Hurdle 2 is completed), the Investor receives 55% of the monthly cash flows until the Investor achieves 24% IRR.</v>
      </c>
      <c r="B20" s="1"/>
      <c r="C20" s="1"/>
      <c r="D20" s="1"/>
      <c r="E20" s="1"/>
      <c r="F20" s="11"/>
      <c r="G20" s="11"/>
      <c r="J20" s="85" t="s">
        <v>36</v>
      </c>
      <c r="K20" s="86"/>
      <c r="L20" s="86"/>
      <c r="M20" s="86"/>
      <c r="N20" s="86"/>
      <c r="O20" s="86"/>
      <c r="P20" s="86"/>
      <c r="Q20" s="62"/>
    </row>
    <row r="21" spans="3:17" ht="12.75">
      <c r="C21" s="1"/>
      <c r="D21" s="1"/>
      <c r="E21" s="1"/>
      <c r="F21" s="11"/>
      <c r="G21" s="11"/>
      <c r="J21" s="90" t="s">
        <v>39</v>
      </c>
      <c r="K21" s="91"/>
      <c r="L21" s="91"/>
      <c r="M21" s="91"/>
      <c r="N21" s="91"/>
      <c r="O21" s="91"/>
      <c r="P21" s="91"/>
      <c r="Q21" s="92"/>
    </row>
    <row r="22" spans="1:17" ht="12.75">
      <c r="A22" s="40" t="s">
        <v>10</v>
      </c>
      <c r="C22" s="58">
        <v>0.5</v>
      </c>
      <c r="D22" s="6">
        <f>1-C22</f>
        <v>0.5</v>
      </c>
      <c r="E22" s="6"/>
      <c r="F22" s="11"/>
      <c r="G22" s="11"/>
      <c r="J22" s="87" t="s">
        <v>34</v>
      </c>
      <c r="K22" s="88"/>
      <c r="L22" s="88"/>
      <c r="M22" s="88"/>
      <c r="N22" s="88"/>
      <c r="O22" s="88"/>
      <c r="P22" s="88"/>
      <c r="Q22" s="89"/>
    </row>
    <row r="23" spans="1:17" ht="12.75">
      <c r="A23" s="3" t="str">
        <f>A22&amp;" (after "&amp;A19&amp;" is completed) allocates monthly cash flow "&amp;TEXT(investor_share_final,"0%")&amp;" to each party."</f>
        <v>Final Split (after Hurdle 3 is completed) allocates monthly cash flow 50% to each party.</v>
      </c>
      <c r="C23" s="1"/>
      <c r="D23" s="1"/>
      <c r="E23" s="1"/>
      <c r="J23" s="56" t="s">
        <v>37</v>
      </c>
      <c r="K23" s="49"/>
      <c r="L23" s="49"/>
      <c r="M23" s="49"/>
      <c r="N23" s="49"/>
      <c r="O23" s="49"/>
      <c r="P23" s="49"/>
      <c r="Q23" s="51"/>
    </row>
    <row r="24" spans="3:17" ht="12.75">
      <c r="C24" s="1"/>
      <c r="D24" s="1"/>
      <c r="E24" s="1"/>
      <c r="J24" s="56" t="s">
        <v>33</v>
      </c>
      <c r="K24" s="49"/>
      <c r="L24" s="49"/>
      <c r="M24" s="49"/>
      <c r="N24" s="49"/>
      <c r="O24" s="49"/>
      <c r="P24" s="49"/>
      <c r="Q24" s="51"/>
    </row>
    <row r="25" spans="10:17" ht="12.75">
      <c r="J25" s="56" t="s">
        <v>35</v>
      </c>
      <c r="K25" s="49"/>
      <c r="L25" s="49"/>
      <c r="M25" s="49"/>
      <c r="N25" s="49"/>
      <c r="O25" s="49"/>
      <c r="P25" s="49"/>
      <c r="Q25" s="51"/>
    </row>
    <row r="26" spans="1:20" ht="15">
      <c r="A26" s="27" t="s">
        <v>12</v>
      </c>
      <c r="I26" s="23"/>
      <c r="J26" s="23"/>
      <c r="N26" s="23"/>
      <c r="O26" s="23"/>
      <c r="S26" s="23"/>
      <c r="T26" s="23"/>
    </row>
    <row r="27" spans="1:25" ht="12.75">
      <c r="A27" s="5"/>
      <c r="B27" s="5"/>
      <c r="C27" s="105" t="str">
        <f>A7</f>
        <v>Preferred Return</v>
      </c>
      <c r="D27" s="106"/>
      <c r="E27" s="106"/>
      <c r="F27" s="107"/>
      <c r="G27" s="102" t="str">
        <f>A12</f>
        <v>Hurdle 1</v>
      </c>
      <c r="H27" s="103"/>
      <c r="I27" s="103"/>
      <c r="J27" s="103"/>
      <c r="K27" s="104"/>
      <c r="L27" s="105" t="str">
        <f>A16</f>
        <v>Hurdle 2</v>
      </c>
      <c r="M27" s="106"/>
      <c r="N27" s="106"/>
      <c r="O27" s="106"/>
      <c r="P27" s="107"/>
      <c r="Q27" s="102" t="str">
        <f>A19</f>
        <v>Hurdle 3</v>
      </c>
      <c r="R27" s="103"/>
      <c r="S27" s="103"/>
      <c r="T27" s="103"/>
      <c r="U27" s="104"/>
      <c r="V27" s="105" t="str">
        <f>A22</f>
        <v>Final Split</v>
      </c>
      <c r="W27" s="106"/>
      <c r="X27" s="106"/>
      <c r="Y27" s="107"/>
    </row>
    <row r="28" spans="1:25" ht="12.75">
      <c r="A28" s="5"/>
      <c r="B28" s="93" t="s">
        <v>14</v>
      </c>
      <c r="C28" s="83" t="s">
        <v>28</v>
      </c>
      <c r="D28" s="33" t="str">
        <f>"CF to "&amp;C4&amp;" at"</f>
        <v>CF to Investor at</v>
      </c>
      <c r="E28" s="32" t="s">
        <v>28</v>
      </c>
      <c r="F28" s="33" t="str">
        <f>"CF to "&amp;D4&amp;" at"</f>
        <v>CF to Developer at</v>
      </c>
      <c r="G28" s="28" t="s">
        <v>27</v>
      </c>
      <c r="H28" s="28" t="s">
        <v>28</v>
      </c>
      <c r="I28" s="36" t="str">
        <f>"CF to "&amp;C4</f>
        <v>CF to Investor</v>
      </c>
      <c r="J28" s="29" t="str">
        <f>"Addl CF to "&amp;D4</f>
        <v>Addl CF to Developer</v>
      </c>
      <c r="K28" s="36" t="str">
        <f>"CF to "&amp;D4</f>
        <v>CF to Developer</v>
      </c>
      <c r="L28" s="37" t="s">
        <v>27</v>
      </c>
      <c r="M28" s="32" t="s">
        <v>28</v>
      </c>
      <c r="N28" s="37" t="str">
        <f>"CF to "&amp;C4</f>
        <v>CF to Investor</v>
      </c>
      <c r="O28" s="33" t="str">
        <f>"Addl CF to "&amp;D4</f>
        <v>Addl CF to Developer</v>
      </c>
      <c r="P28" s="37" t="str">
        <f>"CF to "&amp;D4</f>
        <v>CF to Developer</v>
      </c>
      <c r="Q28" s="38" t="s">
        <v>27</v>
      </c>
      <c r="R28" s="28" t="s">
        <v>28</v>
      </c>
      <c r="S28" s="38" t="str">
        <f>"CF to "&amp;C4</f>
        <v>CF to Investor</v>
      </c>
      <c r="T28" s="29" t="str">
        <f>"Addl CF to "&amp;D4</f>
        <v>Addl CF to Developer</v>
      </c>
      <c r="U28" s="38" t="str">
        <f>"CF to "&amp;D4</f>
        <v>CF to Developer</v>
      </c>
      <c r="V28" s="37" t="s">
        <v>27</v>
      </c>
      <c r="W28" s="37" t="str">
        <f>"CF to "&amp;C4</f>
        <v>CF to Investor</v>
      </c>
      <c r="X28" s="37" t="str">
        <f>"CF to "&amp;D4</f>
        <v>CF to Developer</v>
      </c>
      <c r="Y28" s="32" t="s">
        <v>0</v>
      </c>
    </row>
    <row r="29" spans="1:25" ht="12.75">
      <c r="A29" s="82" t="s">
        <v>13</v>
      </c>
      <c r="B29" s="94" t="s">
        <v>0</v>
      </c>
      <c r="C29" s="84" t="str">
        <f>"to "&amp;C4</f>
        <v>to Investor</v>
      </c>
      <c r="D29" s="35" t="str">
        <f>A7</f>
        <v>Preferred Return</v>
      </c>
      <c r="E29" s="34" t="str">
        <f>"to "&amp;D4</f>
        <v>to Developer</v>
      </c>
      <c r="F29" s="35" t="str">
        <f>A7</f>
        <v>Preferred Return</v>
      </c>
      <c r="G29" s="31" t="str">
        <f>A7</f>
        <v>Preferred Return</v>
      </c>
      <c r="H29" s="30" t="str">
        <f>"to "&amp;C4</f>
        <v>to Investor</v>
      </c>
      <c r="I29" s="30" t="str">
        <f>"at "&amp;A12</f>
        <v>at Hurdle 1</v>
      </c>
      <c r="J29" s="30" t="str">
        <f>"at "&amp;A12</f>
        <v>at Hurdle 1</v>
      </c>
      <c r="K29" s="30" t="str">
        <f>"at "&amp;A12</f>
        <v>at Hurdle 1</v>
      </c>
      <c r="L29" s="34" t="str">
        <f>A12</f>
        <v>Hurdle 1</v>
      </c>
      <c r="M29" s="34" t="str">
        <f>"to "&amp;C4</f>
        <v>to Investor</v>
      </c>
      <c r="N29" s="34" t="str">
        <f>"at "&amp;A16</f>
        <v>at Hurdle 2</v>
      </c>
      <c r="O29" s="34" t="str">
        <f>"at "&amp;A16</f>
        <v>at Hurdle 2</v>
      </c>
      <c r="P29" s="34" t="str">
        <f>"at "&amp;A16</f>
        <v>at Hurdle 2</v>
      </c>
      <c r="Q29" s="30" t="str">
        <f>A16</f>
        <v>Hurdle 2</v>
      </c>
      <c r="R29" s="30" t="str">
        <f>"to "&amp;C4</f>
        <v>to Investor</v>
      </c>
      <c r="S29" s="30" t="str">
        <f>"at "&amp;A19</f>
        <v>at Hurdle 3</v>
      </c>
      <c r="T29" s="30" t="str">
        <f>"at "&amp;A19</f>
        <v>at Hurdle 3</v>
      </c>
      <c r="U29" s="30" t="str">
        <f>"at "&amp;A19</f>
        <v>at Hurdle 3</v>
      </c>
      <c r="V29" s="34" t="str">
        <f>A19</f>
        <v>Hurdle 3</v>
      </c>
      <c r="W29" s="39" t="str">
        <f>"at "&amp;A22</f>
        <v>at Final Split</v>
      </c>
      <c r="X29" s="39" t="str">
        <f>"at "&amp;A22</f>
        <v>at Final Split</v>
      </c>
      <c r="Y29" s="34" t="s">
        <v>29</v>
      </c>
    </row>
    <row r="30" spans="3:26" ht="12.75">
      <c r="C30" s="19"/>
      <c r="G30" s="19"/>
      <c r="L30" s="19"/>
      <c r="Q30" s="19"/>
      <c r="V30" s="19"/>
      <c r="Z30" s="21"/>
    </row>
    <row r="31" spans="1:99" ht="12.75">
      <c r="A31" s="2">
        <v>0</v>
      </c>
      <c r="B31" s="59">
        <v>-1550000</v>
      </c>
      <c r="C31" s="20">
        <f aca="true" t="shared" si="0" ref="C31:C67">B31*investor_share_pref_return</f>
        <v>-1395000</v>
      </c>
      <c r="D31" s="57">
        <f>IF(OR(preferred_return=0,investor_share_pref_return=0,developer_share_pref_return=0),0,C31)</f>
        <v>-1395000</v>
      </c>
      <c r="E31" s="7">
        <f aca="true" t="shared" si="1" ref="E31:E67">B31*developer_share_pref_return</f>
        <v>-154999.99999999997</v>
      </c>
      <c r="F31" s="57">
        <f>IF(OR(preferred_return=0,investor_share_pref_return=0,developer_share_pref_return=0),0,E31)</f>
        <v>-154999.99999999997</v>
      </c>
      <c r="G31" s="20">
        <f>B31-D31-F31</f>
        <v>0</v>
      </c>
      <c r="H31" s="7">
        <f aca="true" t="shared" si="2" ref="H31:H67">D31+G31*investor_share_hurdle1</f>
        <v>-1395000</v>
      </c>
      <c r="I31" s="57">
        <f>IF(OR(hurdle1_rate=0,investor_share_hurdle1=0),D31,H31)</f>
        <v>-1395000</v>
      </c>
      <c r="J31" s="7">
        <f aca="true" t="shared" si="3" ref="J31:J67">IF(OR(hurdle1_rate=0,investor_share_hurdle1=0),0,((I31-D31)/investor_share_hurdle1)*developer_share_hurdle1)</f>
        <v>0</v>
      </c>
      <c r="K31" s="57">
        <f>F31+J31</f>
        <v>-154999.99999999997</v>
      </c>
      <c r="L31" s="20">
        <f>B31-I31-K31</f>
        <v>0</v>
      </c>
      <c r="M31" s="7">
        <f aca="true" t="shared" si="4" ref="M31:M67">I31+L31*investor_share_hurdle2</f>
        <v>-1395000</v>
      </c>
      <c r="N31" s="57">
        <f>IF(OR(hurdle2_rate=0,investor_share_hurdle2=0),I31,M31)</f>
        <v>-1395000</v>
      </c>
      <c r="O31" s="7">
        <f aca="true" t="shared" si="5" ref="O31:O67">IF(OR(hurdle2_rate=0,investor_share_hurdle2=0),0,((N31-I31)/investor_share_hurdle2)*developer_share_hurdle2)</f>
        <v>0</v>
      </c>
      <c r="P31" s="57">
        <f>K31+O31</f>
        <v>-154999.99999999997</v>
      </c>
      <c r="Q31" s="20">
        <f>B31-N31-P31</f>
        <v>0</v>
      </c>
      <c r="R31" s="7">
        <f aca="true" t="shared" si="6" ref="R31:R67">N31+Q31*investor_share_hurdle3</f>
        <v>-1395000</v>
      </c>
      <c r="S31" s="57">
        <f>IF(OR(hurdle3_rate=0,investor_share_hurdle3=0),N31,N31)</f>
        <v>-1395000</v>
      </c>
      <c r="T31" s="7">
        <f aca="true" t="shared" si="7" ref="T31:T67">IF(OR(hurdle3_rate=0,investor_share_hurdle3=0),0,((S31-N31)/investor_share_hurdle3)*developer_share_hurdle3)</f>
        <v>0</v>
      </c>
      <c r="U31" s="57">
        <f>P31+T31</f>
        <v>-154999.99999999997</v>
      </c>
      <c r="V31" s="20">
        <f>B31-S31-U31</f>
        <v>0</v>
      </c>
      <c r="W31" s="57">
        <f aca="true" t="shared" si="8" ref="W31:W67">S31+V31*investor_share_final</f>
        <v>-1395000</v>
      </c>
      <c r="X31" s="57">
        <f aca="true" t="shared" si="9" ref="X31:X67">U31+V31*developer_share_final</f>
        <v>-154999.99999999997</v>
      </c>
      <c r="Y31" s="7">
        <f>B31-W31-X31</f>
        <v>0</v>
      </c>
      <c r="Z31" s="20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</row>
    <row r="32" spans="1:99" ht="12.75">
      <c r="A32" s="2">
        <f>A31+1</f>
        <v>1</v>
      </c>
      <c r="B32" s="59">
        <v>-110500</v>
      </c>
      <c r="C32" s="20">
        <f t="shared" si="0"/>
        <v>-99450</v>
      </c>
      <c r="D32" s="57">
        <f>IF(OR(preferred_return=0,investor_share_pref_return=0,developer_share_pref_return=0),0,IF(NPV($F$7,$C$32:C32)+$C$31&lt;0,C32,0)+IF(AND($C$31&lt;0,NPV($F$7,$C$32:C32)+$C$31&gt;0),FV($F$7,A32,,$D$31),0))</f>
        <v>-99450</v>
      </c>
      <c r="E32" s="7">
        <f t="shared" si="1"/>
        <v>-11049.999999999998</v>
      </c>
      <c r="F32" s="57">
        <f>IF(OR(preferred_return=0,investor_share_pref_return=0,developer_share_pref_return=0),0,IF(NPV($F$7,$E$32:E32)+$E$31&lt;0,E32,0)+IF(AND($E$31&lt;0,NPV($F$7,$E$32:E32)+$E$31&gt;0),FV($F$7,A32,,$F$31),0))</f>
        <v>-11049.999999999998</v>
      </c>
      <c r="G32" s="20">
        <f aca="true" t="shared" si="10" ref="G32:G67">B32-D32-F32</f>
        <v>0</v>
      </c>
      <c r="H32" s="7">
        <f t="shared" si="2"/>
        <v>-99450</v>
      </c>
      <c r="I32" s="57">
        <f>IF(OR(hurdle1_rate=0,investor_share_hurdle1=0),D32,IF(NPV($F$12,$H$32:H32)+$H$31&lt;0,H32,0)+IF(AND($H$31&lt;0,NPV($F$12,$H$32:H32)+$H$31&gt;0),FV($F$12,A32,,$I$31),0))</f>
        <v>-99450</v>
      </c>
      <c r="J32" s="7">
        <f t="shared" si="3"/>
        <v>0</v>
      </c>
      <c r="K32" s="57">
        <f aca="true" t="shared" si="11" ref="K32:K67">F32+J32</f>
        <v>-11049.999999999998</v>
      </c>
      <c r="L32" s="20">
        <f aca="true" t="shared" si="12" ref="L32:L67">B32-I32-K32</f>
        <v>0</v>
      </c>
      <c r="M32" s="7">
        <f t="shared" si="4"/>
        <v>-99450</v>
      </c>
      <c r="N32" s="57">
        <f>IF(OR(hurdle2_rate=0,investor_share_hurdle2=0),I32,IF(NPV($F$16,$M$32:M32)+$M$31&lt;0,M32,0)+IF(AND($M$31&lt;0,NPV($F$16,$M$32:M32)+$M$31&gt;0),FV($F$16,A32,,$N$31),0))</f>
        <v>-99450</v>
      </c>
      <c r="O32" s="7">
        <f t="shared" si="5"/>
        <v>0</v>
      </c>
      <c r="P32" s="57">
        <f aca="true" t="shared" si="13" ref="P32:P67">K32+O32</f>
        <v>-11049.999999999998</v>
      </c>
      <c r="Q32" s="20">
        <f aca="true" t="shared" si="14" ref="Q32:Q67">B32-N32-P32</f>
        <v>0</v>
      </c>
      <c r="R32" s="7">
        <f t="shared" si="6"/>
        <v>-99450</v>
      </c>
      <c r="S32" s="57">
        <f>IF(OR(hurdle3_rate=0,investor_share_hurdle3=0),N32,IF(NPV($F$19,$R$32:R32)+$R$31&lt;0,R32,0)+IF(AND($R$31&lt;0,NPV($F$19,$R$32:R32)+$R$31&gt;0),FV($F$19,A32,,$S$31),0))</f>
        <v>-99450</v>
      </c>
      <c r="T32" s="7">
        <f t="shared" si="7"/>
        <v>0</v>
      </c>
      <c r="U32" s="57">
        <f aca="true" t="shared" si="15" ref="U32:U67">P32+T32</f>
        <v>-11049.999999999998</v>
      </c>
      <c r="V32" s="20">
        <f aca="true" t="shared" si="16" ref="V32:V67">B32-S32-U32</f>
        <v>0</v>
      </c>
      <c r="W32" s="57">
        <f t="shared" si="8"/>
        <v>-99450</v>
      </c>
      <c r="X32" s="57">
        <f t="shared" si="9"/>
        <v>-11049.999999999998</v>
      </c>
      <c r="Y32" s="7">
        <f aca="true" t="shared" si="17" ref="Y32:Y67">B32-W32-X32</f>
        <v>0</v>
      </c>
      <c r="Z32" s="20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1:99" ht="12.75">
      <c r="A33" s="2">
        <f aca="true" t="shared" si="18" ref="A33:A67">A32+1</f>
        <v>2</v>
      </c>
      <c r="B33" s="59">
        <v>-120000</v>
      </c>
      <c r="C33" s="20">
        <f t="shared" si="0"/>
        <v>-108000</v>
      </c>
      <c r="D33" s="57">
        <f>IF(OR(preferred_return=0,investor_share_pref_return=0,developer_share_pref_return=0),0,IF(NPV($F$7,$C$32:C33)+$C$31&lt;0,C33,0)+IF(AND(NPV($F$7,$C$32:C32)+$C$31&lt;0,NPV($F$7,$C$32:C33)+$C$31&gt;0),FV($F$7,A33,,NPV($F$7,$D$32:D32)+$D$31),0))</f>
        <v>-108000</v>
      </c>
      <c r="E33" s="7">
        <f t="shared" si="1"/>
        <v>-11999.999999999998</v>
      </c>
      <c r="F33" s="57">
        <f>IF(OR(preferred_return=0,investor_share_pref_return=0,developer_share_pref_return=0),0,IF(NPV($F$7,$E$32:E33)+$E$31&lt;0,E33,0)+IF(AND(NPV($F$7,$E$32:E32)+$E$31&lt;0,NPV($F$7,$E$32:E33)+$E$31&gt;0),FV($F$7,A33,,NPV($F$7,$F$32:F32)+$F$31),0))</f>
        <v>-11999.999999999998</v>
      </c>
      <c r="G33" s="20">
        <f t="shared" si="10"/>
        <v>0</v>
      </c>
      <c r="H33" s="7">
        <f t="shared" si="2"/>
        <v>-108000</v>
      </c>
      <c r="I33" s="57">
        <f>IF(OR(hurdle1_rate=0,investor_share_hurdle1=0),D33,IF(NPV($F$12,$H$32:H33)+$H$31&lt;0,H33,0)+IF(AND(NPV($F$12,$H$32:H32)+$H$31&lt;0,NPV($F$12,$H$32:H33)+$H$31&gt;0),FV($F$12,A33,,NPV($F$12,$I$32:I32)+$I$31),0))</f>
        <v>-108000</v>
      </c>
      <c r="J33" s="7">
        <f t="shared" si="3"/>
        <v>0</v>
      </c>
      <c r="K33" s="57">
        <f t="shared" si="11"/>
        <v>-11999.999999999998</v>
      </c>
      <c r="L33" s="20">
        <f t="shared" si="12"/>
        <v>0</v>
      </c>
      <c r="M33" s="7">
        <f t="shared" si="4"/>
        <v>-108000</v>
      </c>
      <c r="N33" s="57">
        <f>IF(OR(hurdle2_rate=0,investor_share_hurdle2=0),I33,IF(NPV($F$16,$M$32:M33)+$M$31&lt;0,M33,0)+IF(AND(NPV($F$16,$M$32:M32)+$M$31&lt;0,NPV($F$16,$M$32:M33)+$M$31&gt;0),FV($F$16,A33,,NPV($F$16,$N$32:N32)+$N$31),0))</f>
        <v>-108000</v>
      </c>
      <c r="O33" s="7">
        <f t="shared" si="5"/>
        <v>0</v>
      </c>
      <c r="P33" s="57">
        <f t="shared" si="13"/>
        <v>-11999.999999999998</v>
      </c>
      <c r="Q33" s="20">
        <f t="shared" si="14"/>
        <v>0</v>
      </c>
      <c r="R33" s="7">
        <f t="shared" si="6"/>
        <v>-108000</v>
      </c>
      <c r="S33" s="57">
        <f>IF(OR(hurdle3_rate=0,investor_share_hurdle3=0),N33,IF(NPV($F$19,$R$32:R33)+$R$31&lt;0,R33,0)+IF(AND(NPV($F$19,$R$32:R32)+$R$31&lt;0,NPV($F$19,$R$32:R33)+$R$31&gt;0),FV($F$19,A33,,NPV($F$19,$S$32:S32)+$S$31),0))</f>
        <v>-108000</v>
      </c>
      <c r="T33" s="7">
        <f t="shared" si="7"/>
        <v>0</v>
      </c>
      <c r="U33" s="57">
        <f t="shared" si="15"/>
        <v>-11999.999999999998</v>
      </c>
      <c r="V33" s="20">
        <f t="shared" si="16"/>
        <v>0</v>
      </c>
      <c r="W33" s="57">
        <f t="shared" si="8"/>
        <v>-108000</v>
      </c>
      <c r="X33" s="57">
        <f t="shared" si="9"/>
        <v>-11999.999999999998</v>
      </c>
      <c r="Y33" s="7">
        <f t="shared" si="17"/>
        <v>0</v>
      </c>
      <c r="Z33" s="20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1:99" ht="12.75">
      <c r="A34" s="2">
        <f t="shared" si="18"/>
        <v>3</v>
      </c>
      <c r="B34" s="59">
        <v>-155000</v>
      </c>
      <c r="C34" s="20">
        <f t="shared" si="0"/>
        <v>-139500</v>
      </c>
      <c r="D34" s="57">
        <f>IF(OR(preferred_return=0,investor_share_pref_return=0,developer_share_pref_return=0),0,IF(NPV($F$7,$C$32:C34)+$C$31&lt;0,C34,0)+IF(AND(NPV($F$7,$C$32:C33)+$C$31&lt;0,NPV($F$7,$C$32:C34)+$C$31&gt;0),FV($F$7,A34,,NPV($F$7,$D$32:D33)+$D$31),0))</f>
        <v>-139500</v>
      </c>
      <c r="E34" s="7">
        <f t="shared" si="1"/>
        <v>-15499.999999999996</v>
      </c>
      <c r="F34" s="57">
        <f>IF(OR(preferred_return=0,investor_share_pref_return=0,developer_share_pref_return=0),0,IF(NPV($F$7,$E$32:E34)+$E$31&lt;0,E34,0)+IF(AND(NPV($F$7,$E$32:E33)+$E$31&lt;0,NPV($F$7,$E$32:E34)+$E$31&gt;0),FV($F$7,A34,,NPV($F$7,$F$32:F33)+$F$31),0))</f>
        <v>-15499.999999999996</v>
      </c>
      <c r="G34" s="20">
        <f t="shared" si="10"/>
        <v>0</v>
      </c>
      <c r="H34" s="7">
        <f t="shared" si="2"/>
        <v>-139500</v>
      </c>
      <c r="I34" s="57">
        <f>IF(OR(hurdle1_rate=0,investor_share_hurdle1=0),D34,IF(NPV($F$12,$H$32:H34)+$H$31&lt;0,H34,0)+IF(AND(NPV($F$12,$H$32:H33)+$H$31&lt;0,NPV($F$12,$H$32:H34)+$H$31&gt;0),FV($F$12,A34,,NPV($F$12,$I$32:I33)+$I$31),0))</f>
        <v>-139500</v>
      </c>
      <c r="J34" s="7">
        <f t="shared" si="3"/>
        <v>0</v>
      </c>
      <c r="K34" s="57">
        <f t="shared" si="11"/>
        <v>-15499.999999999996</v>
      </c>
      <c r="L34" s="20">
        <f t="shared" si="12"/>
        <v>0</v>
      </c>
      <c r="M34" s="7">
        <f t="shared" si="4"/>
        <v>-139500</v>
      </c>
      <c r="N34" s="57">
        <f>IF(OR(hurdle2_rate=0,investor_share_hurdle2=0),I34,IF(NPV($F$16,$M$32:M34)+$M$31&lt;0,M34,0)+IF(AND(NPV($F$16,$M$32:M33)+$M$31&lt;0,NPV($F$16,$M$32:M34)+$M$31&gt;0),FV($F$16,A34,,NPV($F$16,$N$32:N33)+$N$31),0))</f>
        <v>-139500</v>
      </c>
      <c r="O34" s="7">
        <f t="shared" si="5"/>
        <v>0</v>
      </c>
      <c r="P34" s="57">
        <f t="shared" si="13"/>
        <v>-15499.999999999996</v>
      </c>
      <c r="Q34" s="20">
        <f t="shared" si="14"/>
        <v>0</v>
      </c>
      <c r="R34" s="7">
        <f t="shared" si="6"/>
        <v>-139500</v>
      </c>
      <c r="S34" s="57">
        <f>IF(OR(hurdle3_rate=0,investor_share_hurdle3=0),N34,IF(NPV($F$19,$R$32:R34)+$R$31&lt;0,R34,0)+IF(AND(NPV($F$19,$R$32:R33)+$R$31&lt;0,NPV($F$19,$R$32:R34)+$R$31&gt;0),FV($F$19,A34,,NPV($F$19,$S$32:S33)+$S$31),0))</f>
        <v>-139500</v>
      </c>
      <c r="T34" s="7">
        <f t="shared" si="7"/>
        <v>0</v>
      </c>
      <c r="U34" s="57">
        <f t="shared" si="15"/>
        <v>-15499.999999999996</v>
      </c>
      <c r="V34" s="20">
        <f t="shared" si="16"/>
        <v>0</v>
      </c>
      <c r="W34" s="57">
        <f t="shared" si="8"/>
        <v>-139500</v>
      </c>
      <c r="X34" s="57">
        <f t="shared" si="9"/>
        <v>-15499.999999999996</v>
      </c>
      <c r="Y34" s="7">
        <f t="shared" si="17"/>
        <v>0</v>
      </c>
      <c r="Z34" s="20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1:99" ht="12.75">
      <c r="A35" s="2">
        <f t="shared" si="18"/>
        <v>4</v>
      </c>
      <c r="B35" s="59">
        <v>-85000</v>
      </c>
      <c r="C35" s="20">
        <f t="shared" si="0"/>
        <v>-76500</v>
      </c>
      <c r="D35" s="57">
        <f>IF(OR(preferred_return=0,investor_share_pref_return=0,developer_share_pref_return=0),0,IF(NPV($F$7,$C$32:C35)+$C$31&lt;0,C35,0)+IF(AND(NPV($F$7,$C$32:C34)+$C$31&lt;0,NPV($F$7,$C$32:C35)+$C$31&gt;0),FV($F$7,A35,,NPV($F$7,$D$32:D34)+$D$31),0))</f>
        <v>-76500</v>
      </c>
      <c r="E35" s="7">
        <f t="shared" si="1"/>
        <v>-8499.999999999998</v>
      </c>
      <c r="F35" s="57">
        <f>IF(OR(preferred_return=0,investor_share_pref_return=0,developer_share_pref_return=0),0,IF(NPV($F$7,$E$32:E35)+$E$31&lt;0,E35,0)+IF(AND(NPV($F$7,$E$32:E34)+$E$31&lt;0,NPV($F$7,$E$32:E35)+$E$31&gt;0),FV($F$7,A35,,NPV($F$7,$F$32:F34)+$F$31),0))</f>
        <v>-8499.999999999998</v>
      </c>
      <c r="G35" s="20">
        <f t="shared" si="10"/>
        <v>0</v>
      </c>
      <c r="H35" s="7">
        <f t="shared" si="2"/>
        <v>-76500</v>
      </c>
      <c r="I35" s="57">
        <f>IF(OR(hurdle1_rate=0,investor_share_hurdle1=0),D35,IF(NPV($F$12,$H$32:H35)+$H$31&lt;0,H35,0)+IF(AND(NPV($F$12,$H$32:H34)+$H$31&lt;0,NPV($F$12,$H$32:H35)+$H$31&gt;0),FV($F$12,A35,,NPV($F$12,$I$32:I34)+$I$31),0))</f>
        <v>-76500</v>
      </c>
      <c r="J35" s="7">
        <f t="shared" si="3"/>
        <v>0</v>
      </c>
      <c r="K35" s="57">
        <f t="shared" si="11"/>
        <v>-8499.999999999998</v>
      </c>
      <c r="L35" s="20">
        <f t="shared" si="12"/>
        <v>0</v>
      </c>
      <c r="M35" s="7">
        <f t="shared" si="4"/>
        <v>-76500</v>
      </c>
      <c r="N35" s="57">
        <f>IF(OR(hurdle2_rate=0,investor_share_hurdle2=0),I35,IF(NPV($F$16,$M$32:M35)+$M$31&lt;0,M35,0)+IF(AND(NPV($F$16,$M$32:M34)+$M$31&lt;0,NPV($F$16,$M$32:M35)+$M$31&gt;0),FV($F$16,A35,,NPV($F$16,$N$32:N34)+$N$31),0))</f>
        <v>-76500</v>
      </c>
      <c r="O35" s="7">
        <f t="shared" si="5"/>
        <v>0</v>
      </c>
      <c r="P35" s="57">
        <f t="shared" si="13"/>
        <v>-8499.999999999998</v>
      </c>
      <c r="Q35" s="20">
        <f t="shared" si="14"/>
        <v>0</v>
      </c>
      <c r="R35" s="7">
        <f t="shared" si="6"/>
        <v>-76500</v>
      </c>
      <c r="S35" s="57">
        <f>IF(OR(hurdle3_rate=0,investor_share_hurdle3=0),N35,IF(NPV($F$19,$R$32:R35)+$R$31&lt;0,R35,0)+IF(AND(NPV($F$19,$R$32:R34)+$R$31&lt;0,NPV($F$19,$R$32:R35)+$R$31&gt;0),FV($F$19,A35,,NPV($F$19,$S$32:S34)+$S$31),0))</f>
        <v>-76500</v>
      </c>
      <c r="T35" s="7">
        <f t="shared" si="7"/>
        <v>0</v>
      </c>
      <c r="U35" s="57">
        <f t="shared" si="15"/>
        <v>-8499.999999999998</v>
      </c>
      <c r="V35" s="20">
        <f t="shared" si="16"/>
        <v>0</v>
      </c>
      <c r="W35" s="57">
        <f t="shared" si="8"/>
        <v>-76500</v>
      </c>
      <c r="X35" s="57">
        <f t="shared" si="9"/>
        <v>-8499.999999999998</v>
      </c>
      <c r="Y35" s="7">
        <f t="shared" si="17"/>
        <v>0</v>
      </c>
      <c r="Z35" s="20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1:99" ht="12.75">
      <c r="A36" s="2">
        <f t="shared" si="18"/>
        <v>5</v>
      </c>
      <c r="B36" s="59">
        <v>12500</v>
      </c>
      <c r="C36" s="20">
        <f t="shared" si="0"/>
        <v>11250</v>
      </c>
      <c r="D36" s="57">
        <f>IF(OR(preferred_return=0,investor_share_pref_return=0,developer_share_pref_return=0),0,IF(NPV($F$7,$C$32:C36)+$C$31&lt;0,C36,0)+IF(AND(NPV($F$7,$C$32:C35)+$C$31&lt;0,NPV($F$7,$C$32:C36)+$C$31&gt;0),FV($F$7,A36,,NPV($F$7,$D$32:D35)+$D$31),0))</f>
        <v>11250</v>
      </c>
      <c r="E36" s="7">
        <f t="shared" si="1"/>
        <v>1249.9999999999998</v>
      </c>
      <c r="F36" s="57">
        <f>IF(OR(preferred_return=0,investor_share_pref_return=0,developer_share_pref_return=0),0,IF(NPV($F$7,$E$32:E36)+$E$31&lt;0,E36,0)+IF(AND(NPV($F$7,$E$32:E35)+$E$31&lt;0,NPV($F$7,$E$32:E36)+$E$31&gt;0),FV($F$7,A36,,NPV($F$7,$F$32:F35)+$F$31),0))</f>
        <v>1249.9999999999998</v>
      </c>
      <c r="G36" s="20">
        <f t="shared" si="10"/>
        <v>0</v>
      </c>
      <c r="H36" s="7">
        <f t="shared" si="2"/>
        <v>11250</v>
      </c>
      <c r="I36" s="57">
        <f>IF(OR(hurdle1_rate=0,investor_share_hurdle1=0),D36,IF(NPV($F$12,$H$32:H36)+$H$31&lt;0,H36,0)+IF(AND(NPV($F$12,$H$32:H35)+$H$31&lt;0,NPV($F$12,$H$32:H36)+$H$31&gt;0),FV($F$12,A36,,NPV($F$12,$I$32:I35)+$I$31),0))</f>
        <v>11250</v>
      </c>
      <c r="J36" s="7">
        <f t="shared" si="3"/>
        <v>0</v>
      </c>
      <c r="K36" s="57">
        <f t="shared" si="11"/>
        <v>1249.9999999999998</v>
      </c>
      <c r="L36" s="20">
        <f t="shared" si="12"/>
        <v>0</v>
      </c>
      <c r="M36" s="7">
        <f t="shared" si="4"/>
        <v>11250</v>
      </c>
      <c r="N36" s="57">
        <f>IF(OR(hurdle2_rate=0,investor_share_hurdle2=0),I36,IF(NPV($F$16,$M$32:M36)+$M$31&lt;0,M36,0)+IF(AND(NPV($F$16,$M$32:M35)+$M$31&lt;0,NPV($F$16,$M$32:M36)+$M$31&gt;0),FV($F$16,A36,,NPV($F$16,$N$32:N35)+$N$31),0))</f>
        <v>11250</v>
      </c>
      <c r="O36" s="7">
        <f t="shared" si="5"/>
        <v>0</v>
      </c>
      <c r="P36" s="57">
        <f t="shared" si="13"/>
        <v>1249.9999999999998</v>
      </c>
      <c r="Q36" s="20">
        <f t="shared" si="14"/>
        <v>0</v>
      </c>
      <c r="R36" s="7">
        <f t="shared" si="6"/>
        <v>11250</v>
      </c>
      <c r="S36" s="57">
        <f>IF(OR(hurdle3_rate=0,investor_share_hurdle3=0),N36,IF(NPV($F$19,$R$32:R36)+$R$31&lt;0,R36,0)+IF(AND(NPV($F$19,$R$32:R35)+$R$31&lt;0,NPV($F$19,$R$32:R36)+$R$31&gt;0),FV($F$19,A36,,NPV($F$19,$S$32:S35)+$S$31),0))</f>
        <v>11250</v>
      </c>
      <c r="T36" s="7">
        <f t="shared" si="7"/>
        <v>0</v>
      </c>
      <c r="U36" s="57">
        <f t="shared" si="15"/>
        <v>1249.9999999999998</v>
      </c>
      <c r="V36" s="20">
        <f t="shared" si="16"/>
        <v>0</v>
      </c>
      <c r="W36" s="57">
        <f t="shared" si="8"/>
        <v>11250</v>
      </c>
      <c r="X36" s="57">
        <f t="shared" si="9"/>
        <v>1249.9999999999998</v>
      </c>
      <c r="Y36" s="7">
        <f t="shared" si="17"/>
        <v>0</v>
      </c>
      <c r="Z36" s="20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1:99" ht="12.75">
      <c r="A37" s="2">
        <f t="shared" si="18"/>
        <v>6</v>
      </c>
      <c r="B37" s="59">
        <v>17550</v>
      </c>
      <c r="C37" s="20">
        <f t="shared" si="0"/>
        <v>15795</v>
      </c>
      <c r="D37" s="57">
        <f>IF(OR(preferred_return=0,investor_share_pref_return=0,developer_share_pref_return=0),0,IF(NPV($F$7,$C$32:C37)+$C$31&lt;0,C37,0)+IF(AND(NPV($F$7,$C$32:C36)+$C$31&lt;0,NPV($F$7,$C$32:C37)+$C$31&gt;0),FV($F$7,A37,,NPV($F$7,$D$32:D36)+$D$31),0))</f>
        <v>15795</v>
      </c>
      <c r="E37" s="7">
        <f t="shared" si="1"/>
        <v>1754.9999999999995</v>
      </c>
      <c r="F37" s="57">
        <f>IF(OR(preferred_return=0,investor_share_pref_return=0,developer_share_pref_return=0),0,IF(NPV($F$7,$E$32:E37)+$E$31&lt;0,E37,0)+IF(AND(NPV($F$7,$E$32:E36)+$E$31&lt;0,NPV($F$7,$E$32:E37)+$E$31&gt;0),FV($F$7,A37,,NPV($F$7,$F$32:F36)+$F$31),0))</f>
        <v>1754.9999999999995</v>
      </c>
      <c r="G37" s="20">
        <f t="shared" si="10"/>
        <v>0</v>
      </c>
      <c r="H37" s="7">
        <f t="shared" si="2"/>
        <v>15795</v>
      </c>
      <c r="I37" s="57">
        <f>IF(OR(hurdle1_rate=0,investor_share_hurdle1=0),D37,IF(NPV($F$12,$H$32:H37)+$H$31&lt;0,H37,0)+IF(AND(NPV($F$12,$H$32:H36)+$H$31&lt;0,NPV($F$12,$H$32:H37)+$H$31&gt;0),FV($F$12,A37,,NPV($F$12,$I$32:I36)+$I$31),0))</f>
        <v>15795</v>
      </c>
      <c r="J37" s="7">
        <f t="shared" si="3"/>
        <v>0</v>
      </c>
      <c r="K37" s="57">
        <f t="shared" si="11"/>
        <v>1754.9999999999995</v>
      </c>
      <c r="L37" s="20">
        <f t="shared" si="12"/>
        <v>0</v>
      </c>
      <c r="M37" s="7">
        <f t="shared" si="4"/>
        <v>15795</v>
      </c>
      <c r="N37" s="57">
        <f>IF(OR(hurdle2_rate=0,investor_share_hurdle2=0),I37,IF(NPV($F$16,$M$32:M37)+$M$31&lt;0,M37,0)+IF(AND(NPV($F$16,$M$32:M36)+$M$31&lt;0,NPV($F$16,$M$32:M37)+$M$31&gt;0),FV($F$16,A37,,NPV($F$16,$N$32:N36)+$N$31),0))</f>
        <v>15795</v>
      </c>
      <c r="O37" s="7">
        <f t="shared" si="5"/>
        <v>0</v>
      </c>
      <c r="P37" s="57">
        <f t="shared" si="13"/>
        <v>1754.9999999999995</v>
      </c>
      <c r="Q37" s="20">
        <f t="shared" si="14"/>
        <v>0</v>
      </c>
      <c r="R37" s="7">
        <f t="shared" si="6"/>
        <v>15795</v>
      </c>
      <c r="S37" s="57">
        <f>IF(OR(hurdle3_rate=0,investor_share_hurdle3=0),N37,IF(NPV($F$19,$R$32:R37)+$R$31&lt;0,R37,0)+IF(AND(NPV($F$19,$R$32:R36)+$R$31&lt;0,NPV($F$19,$R$32:R37)+$R$31&gt;0),FV($F$19,A37,,NPV($F$19,$S$32:S36)+$S$31),0))</f>
        <v>15795</v>
      </c>
      <c r="T37" s="7">
        <f t="shared" si="7"/>
        <v>0</v>
      </c>
      <c r="U37" s="57">
        <f t="shared" si="15"/>
        <v>1754.9999999999995</v>
      </c>
      <c r="V37" s="20">
        <f t="shared" si="16"/>
        <v>0</v>
      </c>
      <c r="W37" s="57">
        <f t="shared" si="8"/>
        <v>15795</v>
      </c>
      <c r="X37" s="57">
        <f t="shared" si="9"/>
        <v>1754.9999999999995</v>
      </c>
      <c r="Y37" s="7">
        <f t="shared" si="17"/>
        <v>0</v>
      </c>
      <c r="Z37" s="20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</row>
    <row r="38" spans="1:99" ht="12.75">
      <c r="A38" s="2">
        <f t="shared" si="18"/>
        <v>7</v>
      </c>
      <c r="B38" s="59">
        <v>126000</v>
      </c>
      <c r="C38" s="20">
        <f t="shared" si="0"/>
        <v>113400</v>
      </c>
      <c r="D38" s="57">
        <f>IF(OR(preferred_return=0,investor_share_pref_return=0,developer_share_pref_return=0),0,IF(NPV($F$7,$C$32:C38)+$C$31&lt;0,C38,0)+IF(AND(NPV($F$7,$C$32:C37)+$C$31&lt;0,NPV($F$7,$C$32:C38)+$C$31&gt;0),FV($F$7,A38,,NPV($F$7,$D$32:D37)+$D$31),0))</f>
        <v>113400</v>
      </c>
      <c r="E38" s="7">
        <f t="shared" si="1"/>
        <v>12599.999999999996</v>
      </c>
      <c r="F38" s="57">
        <f>IF(OR(preferred_return=0,investor_share_pref_return=0,developer_share_pref_return=0),0,IF(NPV($F$7,$E$32:E38)+$E$31&lt;0,E38,0)+IF(AND(NPV($F$7,$E$32:E37)+$E$31&lt;0,NPV($F$7,$E$32:E38)+$E$31&gt;0),FV($F$7,A38,,NPV($F$7,$F$32:F37)+$F$31),0))</f>
        <v>12599.999999999996</v>
      </c>
      <c r="G38" s="20">
        <f t="shared" si="10"/>
        <v>0</v>
      </c>
      <c r="H38" s="7">
        <f t="shared" si="2"/>
        <v>113400</v>
      </c>
      <c r="I38" s="57">
        <f>IF(OR(hurdle1_rate=0,investor_share_hurdle1=0),D38,IF(NPV($F$12,$H$32:H38)+$H$31&lt;0,H38,0)+IF(AND(NPV($F$12,$H$32:H37)+$H$31&lt;0,NPV($F$12,$H$32:H38)+$H$31&gt;0),FV($F$12,A38,,NPV($F$12,$I$32:I37)+$I$31),0))</f>
        <v>113400</v>
      </c>
      <c r="J38" s="7">
        <f t="shared" si="3"/>
        <v>0</v>
      </c>
      <c r="K38" s="57">
        <f t="shared" si="11"/>
        <v>12599.999999999996</v>
      </c>
      <c r="L38" s="20">
        <f t="shared" si="12"/>
        <v>0</v>
      </c>
      <c r="M38" s="7">
        <f t="shared" si="4"/>
        <v>113400</v>
      </c>
      <c r="N38" s="57">
        <f>IF(OR(hurdle2_rate=0,investor_share_hurdle2=0),I38,IF(NPV($F$16,$M$32:M38)+$M$31&lt;0,M38,0)+IF(AND(NPV($F$16,$M$32:M37)+$M$31&lt;0,NPV($F$16,$M$32:M38)+$M$31&gt;0),FV($F$16,A38,,NPV($F$16,$N$32:N37)+$N$31),0))</f>
        <v>113400</v>
      </c>
      <c r="O38" s="7">
        <f t="shared" si="5"/>
        <v>0</v>
      </c>
      <c r="P38" s="57">
        <f t="shared" si="13"/>
        <v>12599.999999999996</v>
      </c>
      <c r="Q38" s="20">
        <f t="shared" si="14"/>
        <v>0</v>
      </c>
      <c r="R38" s="7">
        <f t="shared" si="6"/>
        <v>113400</v>
      </c>
      <c r="S38" s="57">
        <f>IF(OR(hurdle3_rate=0,investor_share_hurdle3=0),N38,IF(NPV($F$19,$R$32:R38)+$R$31&lt;0,R38,0)+IF(AND(NPV($F$19,$R$32:R37)+$R$31&lt;0,NPV($F$19,$R$32:R38)+$R$31&gt;0),FV($F$19,A38,,NPV($F$19,$S$32:S37)+$S$31),0))</f>
        <v>113400</v>
      </c>
      <c r="T38" s="7">
        <f t="shared" si="7"/>
        <v>0</v>
      </c>
      <c r="U38" s="57">
        <f t="shared" si="15"/>
        <v>12599.999999999996</v>
      </c>
      <c r="V38" s="20">
        <f t="shared" si="16"/>
        <v>0</v>
      </c>
      <c r="W38" s="57">
        <f t="shared" si="8"/>
        <v>113400</v>
      </c>
      <c r="X38" s="57">
        <f t="shared" si="9"/>
        <v>12599.999999999996</v>
      </c>
      <c r="Y38" s="7">
        <f t="shared" si="17"/>
        <v>0</v>
      </c>
      <c r="Z38" s="20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1:99" ht="12.75">
      <c r="A39" s="2">
        <f t="shared" si="18"/>
        <v>8</v>
      </c>
      <c r="B39" s="59">
        <v>111000</v>
      </c>
      <c r="C39" s="20">
        <f t="shared" si="0"/>
        <v>99900</v>
      </c>
      <c r="D39" s="57">
        <f>IF(OR(preferred_return=0,investor_share_pref_return=0,developer_share_pref_return=0),0,IF(NPV($F$7,$C$32:C39)+$C$31&lt;0,C39,0)+IF(AND(NPV($F$7,$C$32:C38)+$C$31&lt;0,NPV($F$7,$C$32:C39)+$C$31&gt;0),FV($F$7,A39,,NPV($F$7,$D$32:D38)+$D$31),0))</f>
        <v>99900</v>
      </c>
      <c r="E39" s="7">
        <f t="shared" si="1"/>
        <v>11099.999999999998</v>
      </c>
      <c r="F39" s="57">
        <f>IF(OR(preferred_return=0,investor_share_pref_return=0,developer_share_pref_return=0),0,IF(NPV($F$7,$E$32:E39)+$E$31&lt;0,E39,0)+IF(AND(NPV($F$7,$E$32:E38)+$E$31&lt;0,NPV($F$7,$E$32:E39)+$E$31&gt;0),FV($F$7,A39,,NPV($F$7,$F$32:F38)+$F$31),0))</f>
        <v>11099.999999999998</v>
      </c>
      <c r="G39" s="20">
        <f t="shared" si="10"/>
        <v>0</v>
      </c>
      <c r="H39" s="7">
        <f t="shared" si="2"/>
        <v>99900</v>
      </c>
      <c r="I39" s="57">
        <f>IF(OR(hurdle1_rate=0,investor_share_hurdle1=0),D39,IF(NPV($F$12,$H$32:H39)+$H$31&lt;0,H39,0)+IF(AND(NPV($F$12,$H$32:H38)+$H$31&lt;0,NPV($F$12,$H$32:H39)+$H$31&gt;0),FV($F$12,A39,,NPV($F$12,$I$32:I38)+$I$31),0))</f>
        <v>99900</v>
      </c>
      <c r="J39" s="7">
        <f t="shared" si="3"/>
        <v>0</v>
      </c>
      <c r="K39" s="57">
        <f t="shared" si="11"/>
        <v>11099.999999999998</v>
      </c>
      <c r="L39" s="20">
        <f t="shared" si="12"/>
        <v>0</v>
      </c>
      <c r="M39" s="7">
        <f t="shared" si="4"/>
        <v>99900</v>
      </c>
      <c r="N39" s="57">
        <f>IF(OR(hurdle2_rate=0,investor_share_hurdle2=0),I39,IF(NPV($F$16,$M$32:M39)+$M$31&lt;0,M39,0)+IF(AND(NPV($F$16,$M$32:M38)+$M$31&lt;0,NPV($F$16,$M$32:M39)+$M$31&gt;0),FV($F$16,A39,,NPV($F$16,$N$32:N38)+$N$31),0))</f>
        <v>99900</v>
      </c>
      <c r="O39" s="7">
        <f t="shared" si="5"/>
        <v>0</v>
      </c>
      <c r="P39" s="57">
        <f t="shared" si="13"/>
        <v>11099.999999999998</v>
      </c>
      <c r="Q39" s="20">
        <f t="shared" si="14"/>
        <v>0</v>
      </c>
      <c r="R39" s="7">
        <f t="shared" si="6"/>
        <v>99900</v>
      </c>
      <c r="S39" s="57">
        <f>IF(OR(hurdle3_rate=0,investor_share_hurdle3=0),N39,IF(NPV($F$19,$R$32:R39)+$R$31&lt;0,R39,0)+IF(AND(NPV($F$19,$R$32:R38)+$R$31&lt;0,NPV($F$19,$R$32:R39)+$R$31&gt;0),FV($F$19,A39,,NPV($F$19,$S$32:S38)+$S$31),0))</f>
        <v>99900</v>
      </c>
      <c r="T39" s="7">
        <f t="shared" si="7"/>
        <v>0</v>
      </c>
      <c r="U39" s="57">
        <f t="shared" si="15"/>
        <v>11099.999999999998</v>
      </c>
      <c r="V39" s="20">
        <f t="shared" si="16"/>
        <v>0</v>
      </c>
      <c r="W39" s="57">
        <f t="shared" si="8"/>
        <v>99900</v>
      </c>
      <c r="X39" s="57">
        <f t="shared" si="9"/>
        <v>11099.999999999998</v>
      </c>
      <c r="Y39" s="7">
        <f t="shared" si="17"/>
        <v>0</v>
      </c>
      <c r="Z39" s="20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1:99" ht="12.75">
      <c r="A40" s="2">
        <f t="shared" si="18"/>
        <v>9</v>
      </c>
      <c r="B40" s="59">
        <v>115400</v>
      </c>
      <c r="C40" s="20">
        <f t="shared" si="0"/>
        <v>103860</v>
      </c>
      <c r="D40" s="57">
        <f>IF(OR(preferred_return=0,investor_share_pref_return=0,developer_share_pref_return=0),0,IF(NPV($F$7,$C$32:C40)+$C$31&lt;0,C40,0)+IF(AND(NPV($F$7,$C$32:C39)+$C$31&lt;0,NPV($F$7,$C$32:C40)+$C$31&gt;0),FV($F$7,A40,,NPV($F$7,$D$32:D39)+$D$31),0))</f>
        <v>103860</v>
      </c>
      <c r="E40" s="7">
        <f t="shared" si="1"/>
        <v>11539.999999999998</v>
      </c>
      <c r="F40" s="57">
        <f>IF(OR(preferred_return=0,investor_share_pref_return=0,developer_share_pref_return=0),0,IF(NPV($F$7,$E$32:E40)+$E$31&lt;0,E40,0)+IF(AND(NPV($F$7,$E$32:E39)+$E$31&lt;0,NPV($F$7,$E$32:E40)+$E$31&gt;0),FV($F$7,A40,,NPV($F$7,$F$32:F39)+$F$31),0))</f>
        <v>11539.999999999998</v>
      </c>
      <c r="G40" s="20">
        <f t="shared" si="10"/>
        <v>0</v>
      </c>
      <c r="H40" s="7">
        <f t="shared" si="2"/>
        <v>103860</v>
      </c>
      <c r="I40" s="57">
        <f>IF(OR(hurdle1_rate=0,investor_share_hurdle1=0),D40,IF(NPV($F$12,$H$32:H40)+$H$31&lt;0,H40,0)+IF(AND(NPV($F$12,$H$32:H39)+$H$31&lt;0,NPV($F$12,$H$32:H40)+$H$31&gt;0),FV($F$12,A40,,NPV($F$12,$I$32:I39)+$I$31),0))</f>
        <v>103860</v>
      </c>
      <c r="J40" s="7">
        <f t="shared" si="3"/>
        <v>0</v>
      </c>
      <c r="K40" s="57">
        <f t="shared" si="11"/>
        <v>11539.999999999998</v>
      </c>
      <c r="L40" s="20">
        <f t="shared" si="12"/>
        <v>0</v>
      </c>
      <c r="M40" s="7">
        <f t="shared" si="4"/>
        <v>103860</v>
      </c>
      <c r="N40" s="57">
        <f>IF(OR(hurdle2_rate=0,investor_share_hurdle2=0),I40,IF(NPV($F$16,$M$32:M40)+$M$31&lt;0,M40,0)+IF(AND(NPV($F$16,$M$32:M39)+$M$31&lt;0,NPV($F$16,$M$32:M40)+$M$31&gt;0),FV($F$16,A40,,NPV($F$16,$N$32:N39)+$N$31),0))</f>
        <v>103860</v>
      </c>
      <c r="O40" s="7">
        <f t="shared" si="5"/>
        <v>0</v>
      </c>
      <c r="P40" s="57">
        <f t="shared" si="13"/>
        <v>11539.999999999998</v>
      </c>
      <c r="Q40" s="20">
        <f t="shared" si="14"/>
        <v>0</v>
      </c>
      <c r="R40" s="7">
        <f t="shared" si="6"/>
        <v>103860</v>
      </c>
      <c r="S40" s="57">
        <f>IF(OR(hurdle3_rate=0,investor_share_hurdle3=0),N40,IF(NPV($F$19,$R$32:R40)+$R$31&lt;0,R40,0)+IF(AND(NPV($F$19,$R$32:R39)+$R$31&lt;0,NPV($F$19,$R$32:R40)+$R$31&gt;0),FV($F$19,A40,,NPV($F$19,$S$32:S39)+$S$31),0))</f>
        <v>103860</v>
      </c>
      <c r="T40" s="7">
        <f t="shared" si="7"/>
        <v>0</v>
      </c>
      <c r="U40" s="57">
        <f t="shared" si="15"/>
        <v>11539.999999999998</v>
      </c>
      <c r="V40" s="20">
        <f t="shared" si="16"/>
        <v>0</v>
      </c>
      <c r="W40" s="57">
        <f t="shared" si="8"/>
        <v>103860</v>
      </c>
      <c r="X40" s="57">
        <f t="shared" si="9"/>
        <v>11539.999999999998</v>
      </c>
      <c r="Y40" s="7">
        <f t="shared" si="17"/>
        <v>0</v>
      </c>
      <c r="Z40" s="20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1:99" ht="12.75">
      <c r="A41" s="2">
        <f t="shared" si="18"/>
        <v>10</v>
      </c>
      <c r="B41" s="59">
        <v>100455</v>
      </c>
      <c r="C41" s="20">
        <f t="shared" si="0"/>
        <v>90409.5</v>
      </c>
      <c r="D41" s="57">
        <f>IF(OR(preferred_return=0,investor_share_pref_return=0,developer_share_pref_return=0),0,IF(NPV($F$7,$C$32:C41)+$C$31&lt;0,C41,0)+IF(AND(NPV($F$7,$C$32:C40)+$C$31&lt;0,NPV($F$7,$C$32:C41)+$C$31&gt;0),FV($F$7,A41,,NPV($F$7,$D$32:D40)+$D$31),0))</f>
        <v>90409.5</v>
      </c>
      <c r="E41" s="7">
        <f t="shared" si="1"/>
        <v>10045.499999999998</v>
      </c>
      <c r="F41" s="57">
        <f>IF(OR(preferred_return=0,investor_share_pref_return=0,developer_share_pref_return=0),0,IF(NPV($F$7,$E$32:E41)+$E$31&lt;0,E41,0)+IF(AND(NPV($F$7,$E$32:E40)+$E$31&lt;0,NPV($F$7,$E$32:E41)+$E$31&gt;0),FV($F$7,A41,,NPV($F$7,$F$32:F40)+$F$31),0))</f>
        <v>10045.499999999998</v>
      </c>
      <c r="G41" s="20">
        <f t="shared" si="10"/>
        <v>0</v>
      </c>
      <c r="H41" s="7">
        <f t="shared" si="2"/>
        <v>90409.5</v>
      </c>
      <c r="I41" s="57">
        <f>IF(OR(hurdle1_rate=0,investor_share_hurdle1=0),D41,IF(NPV($F$12,$H$32:H41)+$H$31&lt;0,H41,0)+IF(AND(NPV($F$12,$H$32:H40)+$H$31&lt;0,NPV($F$12,$H$32:H41)+$H$31&gt;0),FV($F$12,A41,,NPV($F$12,$I$32:I40)+$I$31),0))</f>
        <v>90409.5</v>
      </c>
      <c r="J41" s="7">
        <f t="shared" si="3"/>
        <v>0</v>
      </c>
      <c r="K41" s="57">
        <f t="shared" si="11"/>
        <v>10045.499999999998</v>
      </c>
      <c r="L41" s="20">
        <f t="shared" si="12"/>
        <v>0</v>
      </c>
      <c r="M41" s="7">
        <f t="shared" si="4"/>
        <v>90409.5</v>
      </c>
      <c r="N41" s="57">
        <f>IF(OR(hurdle2_rate=0,investor_share_hurdle2=0),I41,IF(NPV($F$16,$M$32:M41)+$M$31&lt;0,M41,0)+IF(AND(NPV($F$16,$M$32:M40)+$M$31&lt;0,NPV($F$16,$M$32:M41)+$M$31&gt;0),FV($F$16,A41,,NPV($F$16,$N$32:N40)+$N$31),0))</f>
        <v>90409.5</v>
      </c>
      <c r="O41" s="7">
        <f t="shared" si="5"/>
        <v>0</v>
      </c>
      <c r="P41" s="57">
        <f t="shared" si="13"/>
        <v>10045.499999999998</v>
      </c>
      <c r="Q41" s="20">
        <f t="shared" si="14"/>
        <v>0</v>
      </c>
      <c r="R41" s="7">
        <f t="shared" si="6"/>
        <v>90409.5</v>
      </c>
      <c r="S41" s="57">
        <f>IF(OR(hurdle3_rate=0,investor_share_hurdle3=0),N41,IF(NPV($F$19,$R$32:R41)+$R$31&lt;0,R41,0)+IF(AND(NPV($F$19,$R$32:R40)+$R$31&lt;0,NPV($F$19,$R$32:R41)+$R$31&gt;0),FV($F$19,A41,,NPV($F$19,$S$32:S40)+$S$31),0))</f>
        <v>90409.5</v>
      </c>
      <c r="T41" s="7">
        <f t="shared" si="7"/>
        <v>0</v>
      </c>
      <c r="U41" s="57">
        <f t="shared" si="15"/>
        <v>10045.499999999998</v>
      </c>
      <c r="V41" s="20">
        <f t="shared" si="16"/>
        <v>0</v>
      </c>
      <c r="W41" s="57">
        <f t="shared" si="8"/>
        <v>90409.5</v>
      </c>
      <c r="X41" s="57">
        <f t="shared" si="9"/>
        <v>10045.499999999998</v>
      </c>
      <c r="Y41" s="7">
        <f t="shared" si="17"/>
        <v>0</v>
      </c>
      <c r="Z41" s="20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</row>
    <row r="42" spans="1:99" ht="12.75">
      <c r="A42" s="2">
        <f t="shared" si="18"/>
        <v>11</v>
      </c>
      <c r="B42" s="59">
        <v>123456</v>
      </c>
      <c r="C42" s="20">
        <f t="shared" si="0"/>
        <v>111110.40000000001</v>
      </c>
      <c r="D42" s="57">
        <f>IF(OR(preferred_return=0,investor_share_pref_return=0,developer_share_pref_return=0),0,IF(NPV($F$7,$C$32:C42)+$C$31&lt;0,C42,0)+IF(AND(NPV($F$7,$C$32:C41)+$C$31&lt;0,NPV($F$7,$C$32:C42)+$C$31&gt;0),FV($F$7,A42,,NPV($F$7,$D$32:D41)+$D$31),0))</f>
        <v>111110.40000000001</v>
      </c>
      <c r="E42" s="7">
        <f t="shared" si="1"/>
        <v>12345.599999999997</v>
      </c>
      <c r="F42" s="57">
        <f>IF(OR(preferred_return=0,investor_share_pref_return=0,developer_share_pref_return=0),0,IF(NPV($F$7,$E$32:E42)+$E$31&lt;0,E42,0)+IF(AND(NPV($F$7,$E$32:E41)+$E$31&lt;0,NPV($F$7,$E$32:E42)+$E$31&gt;0),FV($F$7,A42,,NPV($F$7,$F$32:F41)+$F$31),0))</f>
        <v>12345.599999999997</v>
      </c>
      <c r="G42" s="20">
        <f t="shared" si="10"/>
        <v>0</v>
      </c>
      <c r="H42" s="7">
        <f t="shared" si="2"/>
        <v>111110.40000000001</v>
      </c>
      <c r="I42" s="57">
        <f>IF(OR(hurdle1_rate=0,investor_share_hurdle1=0),D42,IF(NPV($F$12,$H$32:H42)+$H$31&lt;0,H42,0)+IF(AND(NPV($F$12,$H$32:H41)+$H$31&lt;0,NPV($F$12,$H$32:H42)+$H$31&gt;0),FV($F$12,A42,,NPV($F$12,$I$32:I41)+$I$31),0))</f>
        <v>111110.40000000001</v>
      </c>
      <c r="J42" s="7">
        <f t="shared" si="3"/>
        <v>0</v>
      </c>
      <c r="K42" s="57">
        <f t="shared" si="11"/>
        <v>12345.599999999997</v>
      </c>
      <c r="L42" s="20">
        <f t="shared" si="12"/>
        <v>0</v>
      </c>
      <c r="M42" s="7">
        <f t="shared" si="4"/>
        <v>111110.40000000001</v>
      </c>
      <c r="N42" s="57">
        <f>IF(OR(hurdle2_rate=0,investor_share_hurdle2=0),I42,IF(NPV($F$16,$M$32:M42)+$M$31&lt;0,M42,0)+IF(AND(NPV($F$16,$M$32:M41)+$M$31&lt;0,NPV($F$16,$M$32:M42)+$M$31&gt;0),FV($F$16,A42,,NPV($F$16,$N$32:N41)+$N$31),0))</f>
        <v>111110.40000000001</v>
      </c>
      <c r="O42" s="7">
        <f t="shared" si="5"/>
        <v>0</v>
      </c>
      <c r="P42" s="57">
        <f t="shared" si="13"/>
        <v>12345.599999999997</v>
      </c>
      <c r="Q42" s="20">
        <f t="shared" si="14"/>
        <v>0</v>
      </c>
      <c r="R42" s="7">
        <f t="shared" si="6"/>
        <v>111110.40000000001</v>
      </c>
      <c r="S42" s="57">
        <f>IF(OR(hurdle3_rate=0,investor_share_hurdle3=0),N42,IF(NPV($F$19,$R$32:R42)+$R$31&lt;0,R42,0)+IF(AND(NPV($F$19,$R$32:R41)+$R$31&lt;0,NPV($F$19,$R$32:R42)+$R$31&gt;0),FV($F$19,A42,,NPV($F$19,$S$32:S41)+$S$31),0))</f>
        <v>111110.40000000001</v>
      </c>
      <c r="T42" s="7">
        <f t="shared" si="7"/>
        <v>0</v>
      </c>
      <c r="U42" s="57">
        <f t="shared" si="15"/>
        <v>12345.599999999997</v>
      </c>
      <c r="V42" s="20">
        <f t="shared" si="16"/>
        <v>0</v>
      </c>
      <c r="W42" s="57">
        <f t="shared" si="8"/>
        <v>111110.40000000001</v>
      </c>
      <c r="X42" s="57">
        <f t="shared" si="9"/>
        <v>12345.599999999997</v>
      </c>
      <c r="Y42" s="7">
        <f t="shared" si="17"/>
        <v>0</v>
      </c>
      <c r="Z42" s="20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</row>
    <row r="43" spans="1:99" ht="12.75">
      <c r="A43" s="2">
        <f t="shared" si="18"/>
        <v>12</v>
      </c>
      <c r="B43" s="59">
        <v>55678</v>
      </c>
      <c r="C43" s="20">
        <f t="shared" si="0"/>
        <v>50110.200000000004</v>
      </c>
      <c r="D43" s="57">
        <f>IF(OR(preferred_return=0,investor_share_pref_return=0,developer_share_pref_return=0),0,IF(NPV($F$7,$C$32:C43)+$C$31&lt;0,C43,0)+IF(AND(NPV($F$7,$C$32:C42)+$C$31&lt;0,NPV($F$7,$C$32:C43)+$C$31&gt;0),FV($F$7,A43,,NPV($F$7,$D$32:D42)+$D$31),0))</f>
        <v>50110.200000000004</v>
      </c>
      <c r="E43" s="7">
        <f t="shared" si="1"/>
        <v>5567.799999999998</v>
      </c>
      <c r="F43" s="57">
        <f>IF(OR(preferred_return=0,investor_share_pref_return=0,developer_share_pref_return=0),0,IF(NPV($F$7,$E$32:E43)+$E$31&lt;0,E43,0)+IF(AND(NPV($F$7,$E$32:E42)+$E$31&lt;0,NPV($F$7,$E$32:E43)+$E$31&gt;0),FV($F$7,A43,,NPV($F$7,$F$32:F42)+$F$31),0))</f>
        <v>5567.799999999998</v>
      </c>
      <c r="G43" s="20">
        <f t="shared" si="10"/>
        <v>0</v>
      </c>
      <c r="H43" s="7">
        <f t="shared" si="2"/>
        <v>50110.200000000004</v>
      </c>
      <c r="I43" s="57">
        <f>IF(OR(hurdle1_rate=0,investor_share_hurdle1=0),D43,IF(NPV($F$12,$H$32:H43)+$H$31&lt;0,H43,0)+IF(AND(NPV($F$12,$H$32:H42)+$H$31&lt;0,NPV($F$12,$H$32:H43)+$H$31&gt;0),FV($F$12,A43,,NPV($F$12,$I$32:I42)+$I$31),0))</f>
        <v>50110.200000000004</v>
      </c>
      <c r="J43" s="7">
        <f t="shared" si="3"/>
        <v>0</v>
      </c>
      <c r="K43" s="57">
        <f t="shared" si="11"/>
        <v>5567.799999999998</v>
      </c>
      <c r="L43" s="20">
        <f t="shared" si="12"/>
        <v>0</v>
      </c>
      <c r="M43" s="7">
        <f t="shared" si="4"/>
        <v>50110.200000000004</v>
      </c>
      <c r="N43" s="57">
        <f>IF(OR(hurdle2_rate=0,investor_share_hurdle2=0),I43,IF(NPV($F$16,$M$32:M43)+$M$31&lt;0,M43,0)+IF(AND(NPV($F$16,$M$32:M42)+$M$31&lt;0,NPV($F$16,$M$32:M43)+$M$31&gt;0),FV($F$16,A43,,NPV($F$16,$N$32:N42)+$N$31),0))</f>
        <v>50110.200000000004</v>
      </c>
      <c r="O43" s="7">
        <f t="shared" si="5"/>
        <v>0</v>
      </c>
      <c r="P43" s="57">
        <f t="shared" si="13"/>
        <v>5567.799999999998</v>
      </c>
      <c r="Q43" s="20">
        <f t="shared" si="14"/>
        <v>0</v>
      </c>
      <c r="R43" s="7">
        <f t="shared" si="6"/>
        <v>50110.200000000004</v>
      </c>
      <c r="S43" s="57">
        <f>IF(OR(hurdle3_rate=0,investor_share_hurdle3=0),N43,IF(NPV($F$19,$R$32:R43)+$R$31&lt;0,R43,0)+IF(AND(NPV($F$19,$R$32:R42)+$R$31&lt;0,NPV($F$19,$R$32:R43)+$R$31&gt;0),FV($F$19,A43,,NPV($F$19,$S$32:S42)+$S$31),0))</f>
        <v>50110.200000000004</v>
      </c>
      <c r="T43" s="7">
        <f t="shared" si="7"/>
        <v>0</v>
      </c>
      <c r="U43" s="57">
        <f t="shared" si="15"/>
        <v>5567.799999999998</v>
      </c>
      <c r="V43" s="20">
        <f t="shared" si="16"/>
        <v>0</v>
      </c>
      <c r="W43" s="57">
        <f t="shared" si="8"/>
        <v>50110.200000000004</v>
      </c>
      <c r="X43" s="57">
        <f t="shared" si="9"/>
        <v>5567.799999999998</v>
      </c>
      <c r="Y43" s="7">
        <f t="shared" si="17"/>
        <v>0</v>
      </c>
      <c r="Z43" s="20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</row>
    <row r="44" spans="1:99" ht="12.75">
      <c r="A44" s="2">
        <f t="shared" si="18"/>
        <v>13</v>
      </c>
      <c r="B44" s="59">
        <v>124211</v>
      </c>
      <c r="C44" s="20">
        <f t="shared" si="0"/>
        <v>111789.90000000001</v>
      </c>
      <c r="D44" s="57">
        <f>IF(OR(preferred_return=0,investor_share_pref_return=0,developer_share_pref_return=0),0,IF(NPV($F$7,$C$32:C44)+$C$31&lt;0,C44,0)+IF(AND(NPV($F$7,$C$32:C43)+$C$31&lt;0,NPV($F$7,$C$32:C44)+$C$31&gt;0),FV($F$7,A44,,NPV($F$7,$D$32:D43)+$D$31),0))</f>
        <v>111789.90000000001</v>
      </c>
      <c r="E44" s="7">
        <f t="shared" si="1"/>
        <v>12421.099999999997</v>
      </c>
      <c r="F44" s="57">
        <f>IF(OR(preferred_return=0,investor_share_pref_return=0,developer_share_pref_return=0),0,IF(NPV($F$7,$E$32:E44)+$E$31&lt;0,E44,0)+IF(AND(NPV($F$7,$E$32:E43)+$E$31&lt;0,NPV($F$7,$E$32:E44)+$E$31&gt;0),FV($F$7,A44,,NPV($F$7,$F$32:F43)+$F$31),0))</f>
        <v>12421.099999999997</v>
      </c>
      <c r="G44" s="20">
        <f t="shared" si="10"/>
        <v>0</v>
      </c>
      <c r="H44" s="7">
        <f t="shared" si="2"/>
        <v>111789.90000000001</v>
      </c>
      <c r="I44" s="57">
        <f>IF(OR(hurdle1_rate=0,investor_share_hurdle1=0),D44,IF(NPV($F$12,$H$32:H44)+$H$31&lt;0,H44,0)+IF(AND(NPV($F$12,$H$32:H43)+$H$31&lt;0,NPV($F$12,$H$32:H44)+$H$31&gt;0),FV($F$12,A44,,NPV($F$12,$I$32:I43)+$I$31),0))</f>
        <v>111789.90000000001</v>
      </c>
      <c r="J44" s="7">
        <f t="shared" si="3"/>
        <v>0</v>
      </c>
      <c r="K44" s="57">
        <f t="shared" si="11"/>
        <v>12421.099999999997</v>
      </c>
      <c r="L44" s="20">
        <f t="shared" si="12"/>
        <v>0</v>
      </c>
      <c r="M44" s="7">
        <f t="shared" si="4"/>
        <v>111789.90000000001</v>
      </c>
      <c r="N44" s="57">
        <f>IF(OR(hurdle2_rate=0,investor_share_hurdle2=0),I44,IF(NPV($F$16,$M$32:M44)+$M$31&lt;0,M44,0)+IF(AND(NPV($F$16,$M$32:M43)+$M$31&lt;0,NPV($F$16,$M$32:M44)+$M$31&gt;0),FV($F$16,A44,,NPV($F$16,$N$32:N43)+$N$31),0))</f>
        <v>111789.90000000001</v>
      </c>
      <c r="O44" s="7">
        <f t="shared" si="5"/>
        <v>0</v>
      </c>
      <c r="P44" s="57">
        <f t="shared" si="13"/>
        <v>12421.099999999997</v>
      </c>
      <c r="Q44" s="20">
        <f t="shared" si="14"/>
        <v>0</v>
      </c>
      <c r="R44" s="7">
        <f t="shared" si="6"/>
        <v>111789.90000000001</v>
      </c>
      <c r="S44" s="57">
        <f>IF(OR(hurdle3_rate=0,investor_share_hurdle3=0),N44,IF(NPV($F$19,$R$32:R44)+$R$31&lt;0,R44,0)+IF(AND(NPV($F$19,$R$32:R43)+$R$31&lt;0,NPV($F$19,$R$32:R44)+$R$31&gt;0),FV($F$19,A44,,NPV($F$19,$S$32:S43)+$S$31),0))</f>
        <v>111789.90000000001</v>
      </c>
      <c r="T44" s="7">
        <f t="shared" si="7"/>
        <v>0</v>
      </c>
      <c r="U44" s="57">
        <f t="shared" si="15"/>
        <v>12421.099999999997</v>
      </c>
      <c r="V44" s="20">
        <f t="shared" si="16"/>
        <v>0</v>
      </c>
      <c r="W44" s="57">
        <f t="shared" si="8"/>
        <v>111789.90000000001</v>
      </c>
      <c r="X44" s="57">
        <f t="shared" si="9"/>
        <v>12421.099999999997</v>
      </c>
      <c r="Y44" s="7">
        <f t="shared" si="17"/>
        <v>0</v>
      </c>
      <c r="Z44" s="20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1:99" ht="12.75">
      <c r="A45" s="2">
        <f t="shared" si="18"/>
        <v>14</v>
      </c>
      <c r="B45" s="59">
        <v>145678</v>
      </c>
      <c r="C45" s="20">
        <f t="shared" si="0"/>
        <v>131110.2</v>
      </c>
      <c r="D45" s="57">
        <f>IF(OR(preferred_return=0,investor_share_pref_return=0,developer_share_pref_return=0),0,IF(NPV($F$7,$C$32:C45)+$C$31&lt;0,C45,0)+IF(AND(NPV($F$7,$C$32:C44)+$C$31&lt;0,NPV($F$7,$C$32:C45)+$C$31&gt;0),FV($F$7,A45,,NPV($F$7,$D$32:D44)+$D$31),0))</f>
        <v>131110.2</v>
      </c>
      <c r="E45" s="7">
        <f t="shared" si="1"/>
        <v>14567.799999999997</v>
      </c>
      <c r="F45" s="57">
        <f>IF(OR(preferred_return=0,investor_share_pref_return=0,developer_share_pref_return=0),0,IF(NPV($F$7,$E$32:E45)+$E$31&lt;0,E45,0)+IF(AND(NPV($F$7,$E$32:E44)+$E$31&lt;0,NPV($F$7,$E$32:E45)+$E$31&gt;0),FV($F$7,A45,,NPV($F$7,$F$32:F44)+$F$31),0))</f>
        <v>14567.799999999997</v>
      </c>
      <c r="G45" s="20">
        <f t="shared" si="10"/>
        <v>0</v>
      </c>
      <c r="H45" s="7">
        <f t="shared" si="2"/>
        <v>131110.2</v>
      </c>
      <c r="I45" s="57">
        <f>IF(OR(hurdle1_rate=0,investor_share_hurdle1=0),D45,IF(NPV($F$12,$H$32:H45)+$H$31&lt;0,H45,0)+IF(AND(NPV($F$12,$H$32:H44)+$H$31&lt;0,NPV($F$12,$H$32:H45)+$H$31&gt;0),FV($F$12,A45,,NPV($F$12,$I$32:I44)+$I$31),0))</f>
        <v>131110.2</v>
      </c>
      <c r="J45" s="7">
        <f t="shared" si="3"/>
        <v>0</v>
      </c>
      <c r="K45" s="57">
        <f t="shared" si="11"/>
        <v>14567.799999999997</v>
      </c>
      <c r="L45" s="20">
        <f t="shared" si="12"/>
        <v>0</v>
      </c>
      <c r="M45" s="7">
        <f t="shared" si="4"/>
        <v>131110.2</v>
      </c>
      <c r="N45" s="57">
        <f>IF(OR(hurdle2_rate=0,investor_share_hurdle2=0),I45,IF(NPV($F$16,$M$32:M45)+$M$31&lt;0,M45,0)+IF(AND(NPV($F$16,$M$32:M44)+$M$31&lt;0,NPV($F$16,$M$32:M45)+$M$31&gt;0),FV($F$16,A45,,NPV($F$16,$N$32:N44)+$N$31),0))</f>
        <v>131110.2</v>
      </c>
      <c r="O45" s="7">
        <f t="shared" si="5"/>
        <v>0</v>
      </c>
      <c r="P45" s="57">
        <f t="shared" si="13"/>
        <v>14567.799999999997</v>
      </c>
      <c r="Q45" s="20">
        <f t="shared" si="14"/>
        <v>0</v>
      </c>
      <c r="R45" s="7">
        <f t="shared" si="6"/>
        <v>131110.2</v>
      </c>
      <c r="S45" s="57">
        <f>IF(OR(hurdle3_rate=0,investor_share_hurdle3=0),N45,IF(NPV($F$19,$R$32:R45)+$R$31&lt;0,R45,0)+IF(AND(NPV($F$19,$R$32:R44)+$R$31&lt;0,NPV($F$19,$R$32:R45)+$R$31&gt;0),FV($F$19,A45,,NPV($F$19,$S$32:S44)+$S$31),0))</f>
        <v>131110.2</v>
      </c>
      <c r="T45" s="7">
        <f t="shared" si="7"/>
        <v>0</v>
      </c>
      <c r="U45" s="57">
        <f t="shared" si="15"/>
        <v>14567.799999999997</v>
      </c>
      <c r="V45" s="20">
        <f t="shared" si="16"/>
        <v>0</v>
      </c>
      <c r="W45" s="57">
        <f t="shared" si="8"/>
        <v>131110.2</v>
      </c>
      <c r="X45" s="57">
        <f t="shared" si="9"/>
        <v>14567.799999999997</v>
      </c>
      <c r="Y45" s="7">
        <f t="shared" si="17"/>
        <v>0</v>
      </c>
      <c r="Z45" s="2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1:99" ht="12.75">
      <c r="A46" s="2">
        <f t="shared" si="18"/>
        <v>15</v>
      </c>
      <c r="B46" s="59">
        <v>131222</v>
      </c>
      <c r="C46" s="20">
        <f t="shared" si="0"/>
        <v>118099.8</v>
      </c>
      <c r="D46" s="57">
        <f>IF(OR(preferred_return=0,investor_share_pref_return=0,developer_share_pref_return=0),0,IF(NPV($F$7,$C$32:C46)+$C$31&lt;0,C46,0)+IF(AND(NPV($F$7,$C$32:C45)+$C$31&lt;0,NPV($F$7,$C$32:C46)+$C$31&gt;0),FV($F$7,A46,,NPV($F$7,$D$32:D45)+$D$31),0))</f>
        <v>118099.8</v>
      </c>
      <c r="E46" s="7">
        <f t="shared" si="1"/>
        <v>13122.199999999997</v>
      </c>
      <c r="F46" s="57">
        <f>IF(OR(preferred_return=0,investor_share_pref_return=0,developer_share_pref_return=0),0,IF(NPV($F$7,$E$32:E46)+$E$31&lt;0,E46,0)+IF(AND(NPV($F$7,$E$32:E45)+$E$31&lt;0,NPV($F$7,$E$32:E46)+$E$31&gt;0),FV($F$7,A46,,NPV($F$7,$F$32:F45)+$F$31),0))</f>
        <v>13122.199999999997</v>
      </c>
      <c r="G46" s="20">
        <f t="shared" si="10"/>
        <v>0</v>
      </c>
      <c r="H46" s="7">
        <f t="shared" si="2"/>
        <v>118099.8</v>
      </c>
      <c r="I46" s="57">
        <f>IF(OR(hurdle1_rate=0,investor_share_hurdle1=0),D46,IF(NPV($F$12,$H$32:H46)+$H$31&lt;0,H46,0)+IF(AND(NPV($F$12,$H$32:H45)+$H$31&lt;0,NPV($F$12,$H$32:H46)+$H$31&gt;0),FV($F$12,A46,,NPV($F$12,$I$32:I45)+$I$31),0))</f>
        <v>118099.8</v>
      </c>
      <c r="J46" s="7">
        <f t="shared" si="3"/>
        <v>0</v>
      </c>
      <c r="K46" s="57">
        <f t="shared" si="11"/>
        <v>13122.199999999997</v>
      </c>
      <c r="L46" s="20">
        <f t="shared" si="12"/>
        <v>0</v>
      </c>
      <c r="M46" s="7">
        <f t="shared" si="4"/>
        <v>118099.8</v>
      </c>
      <c r="N46" s="57">
        <f>IF(OR(hurdle2_rate=0,investor_share_hurdle2=0),I46,IF(NPV($F$16,$M$32:M46)+$M$31&lt;0,M46,0)+IF(AND(NPV($F$16,$M$32:M45)+$M$31&lt;0,NPV($F$16,$M$32:M46)+$M$31&gt;0),FV($F$16,A46,,NPV($F$16,$N$32:N45)+$N$31),0))</f>
        <v>118099.8</v>
      </c>
      <c r="O46" s="7">
        <f t="shared" si="5"/>
        <v>0</v>
      </c>
      <c r="P46" s="57">
        <f t="shared" si="13"/>
        <v>13122.199999999997</v>
      </c>
      <c r="Q46" s="20">
        <f t="shared" si="14"/>
        <v>0</v>
      </c>
      <c r="R46" s="7">
        <f t="shared" si="6"/>
        <v>118099.8</v>
      </c>
      <c r="S46" s="57">
        <f>IF(OR(hurdle3_rate=0,investor_share_hurdle3=0),N46,IF(NPV($F$19,$R$32:R46)+$R$31&lt;0,R46,0)+IF(AND(NPV($F$19,$R$32:R45)+$R$31&lt;0,NPV($F$19,$R$32:R46)+$R$31&gt;0),FV($F$19,A46,,NPV($F$19,$S$32:S45)+$S$31),0))</f>
        <v>118099.8</v>
      </c>
      <c r="T46" s="7">
        <f t="shared" si="7"/>
        <v>0</v>
      </c>
      <c r="U46" s="57">
        <f t="shared" si="15"/>
        <v>13122.199999999997</v>
      </c>
      <c r="V46" s="20">
        <f t="shared" si="16"/>
        <v>0</v>
      </c>
      <c r="W46" s="57">
        <f t="shared" si="8"/>
        <v>118099.8</v>
      </c>
      <c r="X46" s="57">
        <f t="shared" si="9"/>
        <v>13122.199999999997</v>
      </c>
      <c r="Y46" s="7">
        <f t="shared" si="17"/>
        <v>0</v>
      </c>
      <c r="Z46" s="20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1:99" ht="12.75">
      <c r="A47" s="2">
        <f t="shared" si="18"/>
        <v>16</v>
      </c>
      <c r="B47" s="59">
        <v>89700</v>
      </c>
      <c r="C47" s="20">
        <f t="shared" si="0"/>
        <v>80730</v>
      </c>
      <c r="D47" s="57">
        <f>IF(OR(preferred_return=0,investor_share_pref_return=0,developer_share_pref_return=0),0,IF(NPV($F$7,$C$32:C47)+$C$31&lt;0,C47,0)+IF(AND(NPV($F$7,$C$32:C46)+$C$31&lt;0,NPV($F$7,$C$32:C47)+$C$31&gt;0),FV($F$7,A47,,NPV($F$7,$D$32:D46)+$D$31),0))</f>
        <v>80730</v>
      </c>
      <c r="E47" s="7">
        <f t="shared" si="1"/>
        <v>8969.999999999998</v>
      </c>
      <c r="F47" s="57">
        <f>IF(OR(preferred_return=0,investor_share_pref_return=0,developer_share_pref_return=0),0,IF(NPV($F$7,$E$32:E47)+$E$31&lt;0,E47,0)+IF(AND(NPV($F$7,$E$32:E46)+$E$31&lt;0,NPV($F$7,$E$32:E47)+$E$31&gt;0),FV($F$7,A47,,NPV($F$7,$F$32:F46)+$F$31),0))</f>
        <v>8969.999999999998</v>
      </c>
      <c r="G47" s="20">
        <f t="shared" si="10"/>
        <v>0</v>
      </c>
      <c r="H47" s="7">
        <f t="shared" si="2"/>
        <v>80730</v>
      </c>
      <c r="I47" s="57">
        <f>IF(OR(hurdle1_rate=0,investor_share_hurdle1=0),D47,IF(NPV($F$12,$H$32:H47)+$H$31&lt;0,H47,0)+IF(AND(NPV($F$12,$H$32:H46)+$H$31&lt;0,NPV($F$12,$H$32:H47)+$H$31&gt;0),FV($F$12,A47,,NPV($F$12,$I$32:I46)+$I$31),0))</f>
        <v>80730</v>
      </c>
      <c r="J47" s="7">
        <f t="shared" si="3"/>
        <v>0</v>
      </c>
      <c r="K47" s="57">
        <f t="shared" si="11"/>
        <v>8969.999999999998</v>
      </c>
      <c r="L47" s="20">
        <f t="shared" si="12"/>
        <v>0</v>
      </c>
      <c r="M47" s="7">
        <f t="shared" si="4"/>
        <v>80730</v>
      </c>
      <c r="N47" s="57">
        <f>IF(OR(hurdle2_rate=0,investor_share_hurdle2=0),I47,IF(NPV($F$16,$M$32:M47)+$M$31&lt;0,M47,0)+IF(AND(NPV($F$16,$M$32:M46)+$M$31&lt;0,NPV($F$16,$M$32:M47)+$M$31&gt;0),FV($F$16,A47,,NPV($F$16,$N$32:N46)+$N$31),0))</f>
        <v>80730</v>
      </c>
      <c r="O47" s="7">
        <f t="shared" si="5"/>
        <v>0</v>
      </c>
      <c r="P47" s="57">
        <f t="shared" si="13"/>
        <v>8969.999999999998</v>
      </c>
      <c r="Q47" s="20">
        <f t="shared" si="14"/>
        <v>0</v>
      </c>
      <c r="R47" s="7">
        <f t="shared" si="6"/>
        <v>80730</v>
      </c>
      <c r="S47" s="57">
        <f>IF(OR(hurdle3_rate=0,investor_share_hurdle3=0),N47,IF(NPV($F$19,$R$32:R47)+$R$31&lt;0,R47,0)+IF(AND(NPV($F$19,$R$32:R46)+$R$31&lt;0,NPV($F$19,$R$32:R47)+$R$31&gt;0),FV($F$19,A47,,NPV($F$19,$S$32:S46)+$S$31),0))</f>
        <v>80730</v>
      </c>
      <c r="T47" s="7">
        <f t="shared" si="7"/>
        <v>0</v>
      </c>
      <c r="U47" s="57">
        <f t="shared" si="15"/>
        <v>8969.999999999998</v>
      </c>
      <c r="V47" s="20">
        <f t="shared" si="16"/>
        <v>0</v>
      </c>
      <c r="W47" s="57">
        <f t="shared" si="8"/>
        <v>80730</v>
      </c>
      <c r="X47" s="57">
        <f t="shared" si="9"/>
        <v>8969.999999999998</v>
      </c>
      <c r="Y47" s="7">
        <f t="shared" si="17"/>
        <v>0</v>
      </c>
      <c r="Z47" s="20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1:99" ht="12.75">
      <c r="A48" s="2">
        <f t="shared" si="18"/>
        <v>17</v>
      </c>
      <c r="B48" s="59">
        <v>200000</v>
      </c>
      <c r="C48" s="20">
        <f t="shared" si="0"/>
        <v>180000</v>
      </c>
      <c r="D48" s="57">
        <f>IF(OR(preferred_return=0,investor_share_pref_return=0,developer_share_pref_return=0),0,IF(NPV($F$7,$C$32:C48)+$C$31&lt;0,C48,0)+IF(AND(NPV($F$7,$C$32:C47)+$C$31&lt;0,NPV($F$7,$C$32:C48)+$C$31&gt;0),FV($F$7,A48,,NPV($F$7,$D$32:D47)+$D$31),0))</f>
        <v>180000</v>
      </c>
      <c r="E48" s="7">
        <f t="shared" si="1"/>
        <v>19999.999999999996</v>
      </c>
      <c r="F48" s="57">
        <f>IF(OR(preferred_return=0,investor_share_pref_return=0,developer_share_pref_return=0),0,IF(NPV($F$7,$E$32:E48)+$E$31&lt;0,E48,0)+IF(AND(NPV($F$7,$E$32:E47)+$E$31&lt;0,NPV($F$7,$E$32:E48)+$E$31&gt;0),FV($F$7,A48,,NPV($F$7,$F$32:F47)+$F$31),0))</f>
        <v>19999.999999999996</v>
      </c>
      <c r="G48" s="20">
        <f t="shared" si="10"/>
        <v>0</v>
      </c>
      <c r="H48" s="7">
        <f t="shared" si="2"/>
        <v>180000</v>
      </c>
      <c r="I48" s="57">
        <f>IF(OR(hurdle1_rate=0,investor_share_hurdle1=0),D48,IF(NPV($F$12,$H$32:H48)+$H$31&lt;0,H48,0)+IF(AND(NPV($F$12,$H$32:H47)+$H$31&lt;0,NPV($F$12,$H$32:H48)+$H$31&gt;0),FV($F$12,A48,,NPV($F$12,$I$32:I47)+$I$31),0))</f>
        <v>180000</v>
      </c>
      <c r="J48" s="7">
        <f t="shared" si="3"/>
        <v>0</v>
      </c>
      <c r="K48" s="57">
        <f t="shared" si="11"/>
        <v>19999.999999999996</v>
      </c>
      <c r="L48" s="20">
        <f t="shared" si="12"/>
        <v>0</v>
      </c>
      <c r="M48" s="7">
        <f t="shared" si="4"/>
        <v>180000</v>
      </c>
      <c r="N48" s="57">
        <f>IF(OR(hurdle2_rate=0,investor_share_hurdle2=0),I48,IF(NPV($F$16,$M$32:M48)+$M$31&lt;0,M48,0)+IF(AND(NPV($F$16,$M$32:M47)+$M$31&lt;0,NPV($F$16,$M$32:M48)+$M$31&gt;0),FV($F$16,A48,,NPV($F$16,$N$32:N47)+$N$31),0))</f>
        <v>180000</v>
      </c>
      <c r="O48" s="7">
        <f t="shared" si="5"/>
        <v>0</v>
      </c>
      <c r="P48" s="57">
        <f t="shared" si="13"/>
        <v>19999.999999999996</v>
      </c>
      <c r="Q48" s="20">
        <f t="shared" si="14"/>
        <v>0</v>
      </c>
      <c r="R48" s="7">
        <f t="shared" si="6"/>
        <v>180000</v>
      </c>
      <c r="S48" s="57">
        <f>IF(OR(hurdle3_rate=0,investor_share_hurdle3=0),N48,IF(NPV($F$19,$R$32:R48)+$R$31&lt;0,R48,0)+IF(AND(NPV($F$19,$R$32:R47)+$R$31&lt;0,NPV($F$19,$R$32:R48)+$R$31&gt;0),FV($F$19,A48,,NPV($F$19,$S$32:S47)+$S$31),0))</f>
        <v>180000</v>
      </c>
      <c r="T48" s="7">
        <f t="shared" si="7"/>
        <v>0</v>
      </c>
      <c r="U48" s="57">
        <f t="shared" si="15"/>
        <v>19999.999999999996</v>
      </c>
      <c r="V48" s="20">
        <f t="shared" si="16"/>
        <v>0</v>
      </c>
      <c r="W48" s="57">
        <f t="shared" si="8"/>
        <v>180000</v>
      </c>
      <c r="X48" s="57">
        <f t="shared" si="9"/>
        <v>19999.999999999996</v>
      </c>
      <c r="Y48" s="7">
        <f t="shared" si="17"/>
        <v>0</v>
      </c>
      <c r="Z48" s="20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  <row r="49" spans="1:99" ht="12.75">
      <c r="A49" s="2">
        <f t="shared" si="18"/>
        <v>18</v>
      </c>
      <c r="B49" s="59">
        <v>45679</v>
      </c>
      <c r="C49" s="20">
        <f t="shared" si="0"/>
        <v>41111.1</v>
      </c>
      <c r="D49" s="57">
        <f>IF(OR(preferred_return=0,investor_share_pref_return=0,developer_share_pref_return=0),0,IF(NPV($F$7,$C$32:C49)+$C$31&lt;0,C49,0)+IF(AND(NPV($F$7,$C$32:C48)+$C$31&lt;0,NPV($F$7,$C$32:C49)+$C$31&gt;0),FV($F$7,A49,,NPV($F$7,$D$32:D48)+$D$31),0))</f>
        <v>41111.1</v>
      </c>
      <c r="E49" s="7">
        <f t="shared" si="1"/>
        <v>4567.899999999999</v>
      </c>
      <c r="F49" s="57">
        <f>IF(OR(preferred_return=0,investor_share_pref_return=0,developer_share_pref_return=0),0,IF(NPV($F$7,$E$32:E49)+$E$31&lt;0,E49,0)+IF(AND(NPV($F$7,$E$32:E48)+$E$31&lt;0,NPV($F$7,$E$32:E49)+$E$31&gt;0),FV($F$7,A49,,NPV($F$7,$F$32:F48)+$F$31),0))</f>
        <v>4567.899999999999</v>
      </c>
      <c r="G49" s="20">
        <f t="shared" si="10"/>
        <v>0</v>
      </c>
      <c r="H49" s="7">
        <f t="shared" si="2"/>
        <v>41111.1</v>
      </c>
      <c r="I49" s="57">
        <f>IF(OR(hurdle1_rate=0,investor_share_hurdle1=0),D49,IF(NPV($F$12,$H$32:H49)+$H$31&lt;0,H49,0)+IF(AND(NPV($F$12,$H$32:H48)+$H$31&lt;0,NPV($F$12,$H$32:H49)+$H$31&gt;0),FV($F$12,A49,,NPV($F$12,$I$32:I48)+$I$31),0))</f>
        <v>41111.1</v>
      </c>
      <c r="J49" s="7">
        <f t="shared" si="3"/>
        <v>0</v>
      </c>
      <c r="K49" s="57">
        <f t="shared" si="11"/>
        <v>4567.899999999999</v>
      </c>
      <c r="L49" s="20">
        <f t="shared" si="12"/>
        <v>0</v>
      </c>
      <c r="M49" s="7">
        <f t="shared" si="4"/>
        <v>41111.1</v>
      </c>
      <c r="N49" s="57">
        <f>IF(OR(hurdle2_rate=0,investor_share_hurdle2=0),I49,IF(NPV($F$16,$M$32:M49)+$M$31&lt;0,M49,0)+IF(AND(NPV($F$16,$M$32:M48)+$M$31&lt;0,NPV($F$16,$M$32:M49)+$M$31&gt;0),FV($F$16,A49,,NPV($F$16,$N$32:N48)+$N$31),0))</f>
        <v>41111.1</v>
      </c>
      <c r="O49" s="7">
        <f t="shared" si="5"/>
        <v>0</v>
      </c>
      <c r="P49" s="57">
        <f t="shared" si="13"/>
        <v>4567.899999999999</v>
      </c>
      <c r="Q49" s="20">
        <f t="shared" si="14"/>
        <v>0</v>
      </c>
      <c r="R49" s="7">
        <f t="shared" si="6"/>
        <v>41111.1</v>
      </c>
      <c r="S49" s="57">
        <f>IF(OR(hurdle3_rate=0,investor_share_hurdle3=0),N49,IF(NPV($F$19,$R$32:R49)+$R$31&lt;0,R49,0)+IF(AND(NPV($F$19,$R$32:R48)+$R$31&lt;0,NPV($F$19,$R$32:R49)+$R$31&gt;0),FV($F$19,A49,,NPV($F$19,$S$32:S48)+$S$31),0))</f>
        <v>41111.1</v>
      </c>
      <c r="T49" s="7">
        <f t="shared" si="7"/>
        <v>0</v>
      </c>
      <c r="U49" s="57">
        <f t="shared" si="15"/>
        <v>4567.899999999999</v>
      </c>
      <c r="V49" s="20">
        <f t="shared" si="16"/>
        <v>0</v>
      </c>
      <c r="W49" s="57">
        <f t="shared" si="8"/>
        <v>41111.1</v>
      </c>
      <c r="X49" s="57">
        <f t="shared" si="9"/>
        <v>4567.899999999999</v>
      </c>
      <c r="Y49" s="7">
        <f t="shared" si="17"/>
        <v>0</v>
      </c>
      <c r="Z49" s="20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</row>
    <row r="50" spans="1:99" ht="12.75">
      <c r="A50" s="2">
        <f t="shared" si="18"/>
        <v>19</v>
      </c>
      <c r="B50" s="59">
        <v>110800</v>
      </c>
      <c r="C50" s="20">
        <f t="shared" si="0"/>
        <v>99720</v>
      </c>
      <c r="D50" s="57">
        <f>IF(OR(preferred_return=0,investor_share_pref_return=0,developer_share_pref_return=0),0,IF(NPV($F$7,$C$32:C50)+$C$31&lt;0,C50,0)+IF(AND(NPV($F$7,$C$32:C49)+$C$31&lt;0,NPV($F$7,$C$32:C50)+$C$31&gt;0),FV($F$7,A50,,NPV($F$7,$D$32:D49)+$D$31),0))</f>
        <v>99720</v>
      </c>
      <c r="E50" s="7">
        <f t="shared" si="1"/>
        <v>11079.999999999998</v>
      </c>
      <c r="F50" s="57">
        <f>IF(OR(preferred_return=0,investor_share_pref_return=0,developer_share_pref_return=0),0,IF(NPV($F$7,$E$32:E50)+$E$31&lt;0,E50,0)+IF(AND(NPV($F$7,$E$32:E49)+$E$31&lt;0,NPV($F$7,$E$32:E50)+$E$31&gt;0),FV($F$7,A50,,NPV($F$7,$F$32:F49)+$F$31),0))</f>
        <v>11079.999999999998</v>
      </c>
      <c r="G50" s="20">
        <f t="shared" si="10"/>
        <v>0</v>
      </c>
      <c r="H50" s="7">
        <f t="shared" si="2"/>
        <v>99720</v>
      </c>
      <c r="I50" s="57">
        <f>IF(OR(hurdle1_rate=0,investor_share_hurdle1=0),D50,IF(NPV($F$12,$H$32:H50)+$H$31&lt;0,H50,0)+IF(AND(NPV($F$12,$H$32:H49)+$H$31&lt;0,NPV($F$12,$H$32:H50)+$H$31&gt;0),FV($F$12,A50,,NPV($F$12,$I$32:I49)+$I$31),0))</f>
        <v>99720</v>
      </c>
      <c r="J50" s="7">
        <f t="shared" si="3"/>
        <v>0</v>
      </c>
      <c r="K50" s="57">
        <f t="shared" si="11"/>
        <v>11079.999999999998</v>
      </c>
      <c r="L50" s="20">
        <f t="shared" si="12"/>
        <v>0</v>
      </c>
      <c r="M50" s="7">
        <f t="shared" si="4"/>
        <v>99720</v>
      </c>
      <c r="N50" s="57">
        <f>IF(OR(hurdle2_rate=0,investor_share_hurdle2=0),I50,IF(NPV($F$16,$M$32:M50)+$M$31&lt;0,M50,0)+IF(AND(NPV($F$16,$M$32:M49)+$M$31&lt;0,NPV($F$16,$M$32:M50)+$M$31&gt;0),FV($F$16,A50,,NPV($F$16,$N$32:N49)+$N$31),0))</f>
        <v>99720</v>
      </c>
      <c r="O50" s="7">
        <f t="shared" si="5"/>
        <v>0</v>
      </c>
      <c r="P50" s="57">
        <f t="shared" si="13"/>
        <v>11079.999999999998</v>
      </c>
      <c r="Q50" s="20">
        <f t="shared" si="14"/>
        <v>0</v>
      </c>
      <c r="R50" s="7">
        <f t="shared" si="6"/>
        <v>99720</v>
      </c>
      <c r="S50" s="57">
        <f>IF(OR(hurdle3_rate=0,investor_share_hurdle3=0),N50,IF(NPV($F$19,$R$32:R50)+$R$31&lt;0,R50,0)+IF(AND(NPV($F$19,$R$32:R49)+$R$31&lt;0,NPV($F$19,$R$32:R50)+$R$31&gt;0),FV($F$19,A50,,NPV($F$19,$S$32:S49)+$S$31),0))</f>
        <v>99720</v>
      </c>
      <c r="T50" s="7">
        <f t="shared" si="7"/>
        <v>0</v>
      </c>
      <c r="U50" s="57">
        <f t="shared" si="15"/>
        <v>11079.999999999998</v>
      </c>
      <c r="V50" s="20">
        <f t="shared" si="16"/>
        <v>0</v>
      </c>
      <c r="W50" s="57">
        <f t="shared" si="8"/>
        <v>99720</v>
      </c>
      <c r="X50" s="57">
        <f t="shared" si="9"/>
        <v>11079.999999999998</v>
      </c>
      <c r="Y50" s="7">
        <f t="shared" si="17"/>
        <v>0</v>
      </c>
      <c r="Z50" s="20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</row>
    <row r="51" spans="1:99" ht="12.75">
      <c r="A51" s="2">
        <f t="shared" si="18"/>
        <v>20</v>
      </c>
      <c r="B51" s="59">
        <v>255700</v>
      </c>
      <c r="C51" s="20">
        <f t="shared" si="0"/>
        <v>230130</v>
      </c>
      <c r="D51" s="57">
        <f>IF(OR(preferred_return=0,investor_share_pref_return=0,developer_share_pref_return=0),0,IF(NPV($F$7,$C$32:C51)+$C$31&lt;0,C51,0)+IF(AND(NPV($F$7,$C$32:C50)+$C$31&lt;0,NPV($F$7,$C$32:C51)+$C$31&gt;0),FV($F$7,A51,,NPV($F$7,$D$32:D50)+$D$31),0))</f>
        <v>230130</v>
      </c>
      <c r="E51" s="7">
        <f t="shared" si="1"/>
        <v>25569.999999999993</v>
      </c>
      <c r="F51" s="57">
        <f>IF(OR(preferred_return=0,investor_share_pref_return=0,developer_share_pref_return=0),0,IF(NPV($F$7,$E$32:E51)+$E$31&lt;0,E51,0)+IF(AND(NPV($F$7,$E$32:E50)+$E$31&lt;0,NPV($F$7,$E$32:E51)+$E$31&gt;0),FV($F$7,A51,,NPV($F$7,$F$32:F50)+$F$31),0))</f>
        <v>25569.999999999993</v>
      </c>
      <c r="G51" s="20">
        <f t="shared" si="10"/>
        <v>0</v>
      </c>
      <c r="H51" s="7">
        <f t="shared" si="2"/>
        <v>230130</v>
      </c>
      <c r="I51" s="57">
        <f>IF(OR(hurdle1_rate=0,investor_share_hurdle1=0),D51,IF(NPV($F$12,$H$32:H51)+$H$31&lt;0,H51,0)+IF(AND(NPV($F$12,$H$32:H50)+$H$31&lt;0,NPV($F$12,$H$32:H51)+$H$31&gt;0),FV($F$12,A51,,NPV($F$12,$I$32:I50)+$I$31),0))</f>
        <v>230130</v>
      </c>
      <c r="J51" s="7">
        <f t="shared" si="3"/>
        <v>0</v>
      </c>
      <c r="K51" s="57">
        <f t="shared" si="11"/>
        <v>25569.999999999993</v>
      </c>
      <c r="L51" s="20">
        <f t="shared" si="12"/>
        <v>0</v>
      </c>
      <c r="M51" s="7">
        <f t="shared" si="4"/>
        <v>230130</v>
      </c>
      <c r="N51" s="57">
        <f>IF(OR(hurdle2_rate=0,investor_share_hurdle2=0),I51,IF(NPV($F$16,$M$32:M51)+$M$31&lt;0,M51,0)+IF(AND(NPV($F$16,$M$32:M50)+$M$31&lt;0,NPV($F$16,$M$32:M51)+$M$31&gt;0),FV($F$16,A51,,NPV($F$16,$N$32:N50)+$N$31),0))</f>
        <v>230130</v>
      </c>
      <c r="O51" s="7">
        <f t="shared" si="5"/>
        <v>0</v>
      </c>
      <c r="P51" s="57">
        <f t="shared" si="13"/>
        <v>25569.999999999993</v>
      </c>
      <c r="Q51" s="20">
        <f t="shared" si="14"/>
        <v>0</v>
      </c>
      <c r="R51" s="7">
        <f t="shared" si="6"/>
        <v>230130</v>
      </c>
      <c r="S51" s="57">
        <f>IF(OR(hurdle3_rate=0,investor_share_hurdle3=0),N51,IF(NPV($F$19,$R$32:R51)+$R$31&lt;0,R51,0)+IF(AND(NPV($F$19,$R$32:R50)+$R$31&lt;0,NPV($F$19,$R$32:R51)+$R$31&gt;0),FV($F$19,A51,,NPV($F$19,$S$32:S50)+$S$31),0))</f>
        <v>230130</v>
      </c>
      <c r="T51" s="7">
        <f t="shared" si="7"/>
        <v>0</v>
      </c>
      <c r="U51" s="57">
        <f t="shared" si="15"/>
        <v>25569.999999999993</v>
      </c>
      <c r="V51" s="20">
        <f t="shared" si="16"/>
        <v>0</v>
      </c>
      <c r="W51" s="57">
        <f t="shared" si="8"/>
        <v>230130</v>
      </c>
      <c r="X51" s="57">
        <f t="shared" si="9"/>
        <v>25569.999999999993</v>
      </c>
      <c r="Y51" s="7">
        <f t="shared" si="17"/>
        <v>0</v>
      </c>
      <c r="Z51" s="20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</row>
    <row r="52" spans="1:99" ht="12.75">
      <c r="A52" s="2">
        <f t="shared" si="18"/>
        <v>21</v>
      </c>
      <c r="B52" s="59">
        <v>114600</v>
      </c>
      <c r="C52" s="20">
        <f t="shared" si="0"/>
        <v>103140</v>
      </c>
      <c r="D52" s="57">
        <f>IF(OR(preferred_return=0,investor_share_pref_return=0,developer_share_pref_return=0),0,IF(NPV($F$7,$C$32:C52)+$C$31&lt;0,C52,0)+IF(AND(NPV($F$7,$C$32:C51)+$C$31&lt;0,NPV($F$7,$C$32:C52)+$C$31&gt;0),FV($F$7,A52,,NPV($F$7,$D$32:D51)+$D$31),0))</f>
        <v>103140</v>
      </c>
      <c r="E52" s="7">
        <f t="shared" si="1"/>
        <v>11459.999999999998</v>
      </c>
      <c r="F52" s="57">
        <f>IF(OR(preferred_return=0,investor_share_pref_return=0,developer_share_pref_return=0),0,IF(NPV($F$7,$E$32:E52)+$E$31&lt;0,E52,0)+IF(AND(NPV($F$7,$E$32:E51)+$E$31&lt;0,NPV($F$7,$E$32:E52)+$E$31&gt;0),FV($F$7,A52,,NPV($F$7,$F$32:F51)+$F$31),0))</f>
        <v>11459.999999999998</v>
      </c>
      <c r="G52" s="20">
        <f t="shared" si="10"/>
        <v>0</v>
      </c>
      <c r="H52" s="7">
        <f t="shared" si="2"/>
        <v>103140</v>
      </c>
      <c r="I52" s="57">
        <f>IF(OR(hurdle1_rate=0,investor_share_hurdle1=0),D52,IF(NPV($F$12,$H$32:H52)+$H$31&lt;0,H52,0)+IF(AND(NPV($F$12,$H$32:H51)+$H$31&lt;0,NPV($F$12,$H$32:H52)+$H$31&gt;0),FV($F$12,A52,,NPV($F$12,$I$32:I51)+$I$31),0))</f>
        <v>103140</v>
      </c>
      <c r="J52" s="7">
        <f t="shared" si="3"/>
        <v>0</v>
      </c>
      <c r="K52" s="57">
        <f t="shared" si="11"/>
        <v>11459.999999999998</v>
      </c>
      <c r="L52" s="20">
        <f t="shared" si="12"/>
        <v>0</v>
      </c>
      <c r="M52" s="7">
        <f t="shared" si="4"/>
        <v>103140</v>
      </c>
      <c r="N52" s="57">
        <f>IF(OR(hurdle2_rate=0,investor_share_hurdle2=0),I52,IF(NPV($F$16,$M$32:M52)+$M$31&lt;0,M52,0)+IF(AND(NPV($F$16,$M$32:M51)+$M$31&lt;0,NPV($F$16,$M$32:M52)+$M$31&gt;0),FV($F$16,A52,,NPV($F$16,$N$32:N51)+$N$31),0))</f>
        <v>103140</v>
      </c>
      <c r="O52" s="7">
        <f t="shared" si="5"/>
        <v>0</v>
      </c>
      <c r="P52" s="57">
        <f t="shared" si="13"/>
        <v>11459.999999999998</v>
      </c>
      <c r="Q52" s="20">
        <f t="shared" si="14"/>
        <v>0</v>
      </c>
      <c r="R52" s="7">
        <f t="shared" si="6"/>
        <v>103140</v>
      </c>
      <c r="S52" s="57">
        <f>IF(OR(hurdle3_rate=0,investor_share_hurdle3=0),N52,IF(NPV($F$19,$R$32:R52)+$R$31&lt;0,R52,0)+IF(AND(NPV($F$19,$R$32:R51)+$R$31&lt;0,NPV($F$19,$R$32:R52)+$R$31&gt;0),FV($F$19,A52,,NPV($F$19,$S$32:S51)+$S$31),0))</f>
        <v>103140</v>
      </c>
      <c r="T52" s="7">
        <f t="shared" si="7"/>
        <v>0</v>
      </c>
      <c r="U52" s="57">
        <f t="shared" si="15"/>
        <v>11459.999999999998</v>
      </c>
      <c r="V52" s="20">
        <f t="shared" si="16"/>
        <v>0</v>
      </c>
      <c r="W52" s="57">
        <f t="shared" si="8"/>
        <v>103140</v>
      </c>
      <c r="X52" s="57">
        <f t="shared" si="9"/>
        <v>11459.999999999998</v>
      </c>
      <c r="Y52" s="7">
        <f t="shared" si="17"/>
        <v>0</v>
      </c>
      <c r="Z52" s="20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</row>
    <row r="53" spans="1:99" ht="12.75">
      <c r="A53" s="2">
        <f t="shared" si="18"/>
        <v>22</v>
      </c>
      <c r="B53" s="59">
        <v>210988</v>
      </c>
      <c r="C53" s="20">
        <f t="shared" si="0"/>
        <v>189889.2</v>
      </c>
      <c r="D53" s="57">
        <f>IF(OR(preferred_return=0,investor_share_pref_return=0,developer_share_pref_return=0),0,IF(NPV($F$7,$C$32:C53)+$C$31&lt;0,C53,0)+IF(AND(NPV($F$7,$C$32:C52)+$C$31&lt;0,NPV($F$7,$C$32:C53)+$C$31&gt;0),FV($F$7,A53,,NPV($F$7,$D$32:D52)+$D$31),0))</f>
        <v>189889.2</v>
      </c>
      <c r="E53" s="7">
        <f t="shared" si="1"/>
        <v>21098.799999999996</v>
      </c>
      <c r="F53" s="57">
        <f>IF(OR(preferred_return=0,investor_share_pref_return=0,developer_share_pref_return=0),0,IF(NPV($F$7,$E$32:E53)+$E$31&lt;0,E53,0)+IF(AND(NPV($F$7,$E$32:E52)+$E$31&lt;0,NPV($F$7,$E$32:E53)+$E$31&gt;0),FV($F$7,A53,,NPV($F$7,$F$32:F52)+$F$31),0))</f>
        <v>21098.799999999996</v>
      </c>
      <c r="G53" s="20">
        <f t="shared" si="10"/>
        <v>0</v>
      </c>
      <c r="H53" s="7">
        <f t="shared" si="2"/>
        <v>189889.2</v>
      </c>
      <c r="I53" s="57">
        <f>IF(OR(hurdle1_rate=0,investor_share_hurdle1=0),D53,IF(NPV($F$12,$H$32:H53)+$H$31&lt;0,H53,0)+IF(AND(NPV($F$12,$H$32:H52)+$H$31&lt;0,NPV($F$12,$H$32:H53)+$H$31&gt;0),FV($F$12,A53,,NPV($F$12,$I$32:I52)+$I$31),0))</f>
        <v>189889.2</v>
      </c>
      <c r="J53" s="7">
        <f t="shared" si="3"/>
        <v>0</v>
      </c>
      <c r="K53" s="57">
        <f t="shared" si="11"/>
        <v>21098.799999999996</v>
      </c>
      <c r="L53" s="20">
        <f t="shared" si="12"/>
        <v>0</v>
      </c>
      <c r="M53" s="7">
        <f t="shared" si="4"/>
        <v>189889.2</v>
      </c>
      <c r="N53" s="57">
        <f>IF(OR(hurdle2_rate=0,investor_share_hurdle2=0),I53,IF(NPV($F$16,$M$32:M53)+$M$31&lt;0,M53,0)+IF(AND(NPV($F$16,$M$32:M52)+$M$31&lt;0,NPV($F$16,$M$32:M53)+$M$31&gt;0),FV($F$16,A53,,NPV($F$16,$N$32:N52)+$N$31),0))</f>
        <v>189889.2</v>
      </c>
      <c r="O53" s="7">
        <f t="shared" si="5"/>
        <v>0</v>
      </c>
      <c r="P53" s="57">
        <f t="shared" si="13"/>
        <v>21098.799999999996</v>
      </c>
      <c r="Q53" s="20">
        <f t="shared" si="14"/>
        <v>0</v>
      </c>
      <c r="R53" s="7">
        <f t="shared" si="6"/>
        <v>189889.2</v>
      </c>
      <c r="S53" s="57">
        <f>IF(OR(hurdle3_rate=0,investor_share_hurdle3=0),N53,IF(NPV($F$19,$R$32:R53)+$R$31&lt;0,R53,0)+IF(AND(NPV($F$19,$R$32:R52)+$R$31&lt;0,NPV($F$19,$R$32:R53)+$R$31&gt;0),FV($F$19,A53,,NPV($F$19,$S$32:S52)+$S$31),0))</f>
        <v>189889.2</v>
      </c>
      <c r="T53" s="7">
        <f t="shared" si="7"/>
        <v>0</v>
      </c>
      <c r="U53" s="57">
        <f t="shared" si="15"/>
        <v>21098.799999999996</v>
      </c>
      <c r="V53" s="20">
        <f t="shared" si="16"/>
        <v>0</v>
      </c>
      <c r="W53" s="57">
        <f t="shared" si="8"/>
        <v>189889.2</v>
      </c>
      <c r="X53" s="57">
        <f t="shared" si="9"/>
        <v>21098.799999999996</v>
      </c>
      <c r="Y53" s="7">
        <f t="shared" si="17"/>
        <v>0</v>
      </c>
      <c r="Z53" s="20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</row>
    <row r="54" spans="1:99" ht="12.75">
      <c r="A54" s="2">
        <f t="shared" si="18"/>
        <v>23</v>
      </c>
      <c r="B54" s="59">
        <v>245678</v>
      </c>
      <c r="C54" s="20">
        <f t="shared" si="0"/>
        <v>221110.2</v>
      </c>
      <c r="D54" s="57">
        <f>IF(OR(preferred_return=0,investor_share_pref_return=0,developer_share_pref_return=0),0,IF(NPV($F$7,$C$32:C54)+$C$31&lt;0,C54,0)+IF(AND(NPV($F$7,$C$32:C53)+$C$31&lt;0,NPV($F$7,$C$32:C54)+$C$31&gt;0),FV($F$7,A54,,NPV($F$7,$D$32:D53)+$D$31),0))</f>
        <v>192894.79501835082</v>
      </c>
      <c r="E54" s="7">
        <f t="shared" si="1"/>
        <v>24567.799999999996</v>
      </c>
      <c r="F54" s="57">
        <f>IF(OR(preferred_return=0,investor_share_pref_return=0,developer_share_pref_return=0),0,IF(NPV($F$7,$E$32:E54)+$E$31&lt;0,E54,0)+IF(AND(NPV($F$7,$E$32:E53)+$E$31&lt;0,NPV($F$7,$E$32:E54)+$E$31&gt;0),FV($F$7,A54,,NPV($F$7,$F$32:F53)+$F$31),0))</f>
        <v>21432.755002038946</v>
      </c>
      <c r="G54" s="20">
        <f t="shared" si="10"/>
        <v>31350.449979610232</v>
      </c>
      <c r="H54" s="7">
        <f t="shared" si="2"/>
        <v>213272.58750509747</v>
      </c>
      <c r="I54" s="57">
        <f>IF(OR(hurdle1_rate=0,investor_share_hurdle1=0),D54,IF(NPV($F$12,$H$32:H54)+$H$31&lt;0,H54,0)+IF(AND(NPV($F$12,$H$32:H53)+$H$31&lt;0,NPV($F$12,$H$32:H54)+$H$31&gt;0),FV($F$12,A54,,NPV($F$12,$I$32:I53)+$I$31),0))</f>
        <v>213272.58750509747</v>
      </c>
      <c r="J54" s="7">
        <f t="shared" si="3"/>
        <v>10972.65749286358</v>
      </c>
      <c r="K54" s="57">
        <f t="shared" si="11"/>
        <v>32405.412494902528</v>
      </c>
      <c r="L54" s="20">
        <f t="shared" si="12"/>
        <v>0</v>
      </c>
      <c r="M54" s="7">
        <f t="shared" si="4"/>
        <v>213272.58750509747</v>
      </c>
      <c r="N54" s="57">
        <f>IF(OR(hurdle2_rate=0,investor_share_hurdle2=0),I54,IF(NPV($F$16,$M$32:M54)+$M$31&lt;0,M54,0)+IF(AND(NPV($F$16,$M$32:M53)+$M$31&lt;0,NPV($F$16,$M$32:M54)+$M$31&gt;0),FV($F$16,A54,,NPV($F$16,$N$32:N53)+$N$31),0))</f>
        <v>213272.58750509747</v>
      </c>
      <c r="O54" s="7">
        <f t="shared" si="5"/>
        <v>0</v>
      </c>
      <c r="P54" s="57">
        <f t="shared" si="13"/>
        <v>32405.412494902528</v>
      </c>
      <c r="Q54" s="20">
        <f t="shared" si="14"/>
        <v>0</v>
      </c>
      <c r="R54" s="7">
        <f t="shared" si="6"/>
        <v>213272.58750509747</v>
      </c>
      <c r="S54" s="57">
        <f>IF(OR(hurdle3_rate=0,investor_share_hurdle3=0),N54,IF(NPV($F$19,$R$32:R54)+$R$31&lt;0,R54,0)+IF(AND(NPV($F$19,$R$32:R53)+$R$31&lt;0,NPV($F$19,$R$32:R54)+$R$31&gt;0),FV($F$19,A54,,NPV($F$19,$S$32:S53)+$S$31),0))</f>
        <v>213272.58750509747</v>
      </c>
      <c r="T54" s="7">
        <f t="shared" si="7"/>
        <v>0</v>
      </c>
      <c r="U54" s="57">
        <f t="shared" si="15"/>
        <v>32405.412494902528</v>
      </c>
      <c r="V54" s="20">
        <f t="shared" si="16"/>
        <v>0</v>
      </c>
      <c r="W54" s="57">
        <f t="shared" si="8"/>
        <v>213272.58750509747</v>
      </c>
      <c r="X54" s="57">
        <f t="shared" si="9"/>
        <v>32405.412494902528</v>
      </c>
      <c r="Y54" s="7">
        <f t="shared" si="17"/>
        <v>0</v>
      </c>
      <c r="Z54" s="20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</row>
    <row r="55" spans="1:99" ht="12.75">
      <c r="A55" s="2">
        <f t="shared" si="18"/>
        <v>24</v>
      </c>
      <c r="B55" s="59">
        <v>312446</v>
      </c>
      <c r="C55" s="20">
        <f t="shared" si="0"/>
        <v>281201.4</v>
      </c>
      <c r="D55" s="57">
        <f>IF(OR(preferred_return=0,investor_share_pref_return=0,developer_share_pref_return=0),0,IF(NPV($F$7,$C$32:C55)+$C$31&lt;0,C55,0)+IF(AND(NPV($F$7,$C$32:C54)+$C$31&lt;0,NPV($F$7,$C$32:C55)+$C$31&gt;0),FV($F$7,A55,,NPV($F$7,$D$32:D54)+$D$31),0))</f>
        <v>0</v>
      </c>
      <c r="E55" s="7">
        <f t="shared" si="1"/>
        <v>31244.59999999999</v>
      </c>
      <c r="F55" s="57">
        <f>IF(OR(preferred_return=0,investor_share_pref_return=0,developer_share_pref_return=0),0,IF(NPV($F$7,$E$32:E55)+$E$31&lt;0,E55,0)+IF(AND(NPV($F$7,$E$32:E54)+$E$31&lt;0,NPV($F$7,$E$32:E55)+$E$31&gt;0),FV($F$7,A55,,NPV($F$7,$F$32:F54)+$F$31),0))</f>
        <v>0</v>
      </c>
      <c r="G55" s="20">
        <f t="shared" si="10"/>
        <v>312446</v>
      </c>
      <c r="H55" s="7">
        <f t="shared" si="2"/>
        <v>203089.9</v>
      </c>
      <c r="I55" s="57">
        <f>IF(OR(hurdle1_rate=0,investor_share_hurdle1=0),D55,IF(NPV($F$12,$H$32:H55)+$H$31&lt;0,H55,0)+IF(AND(NPV($F$12,$H$32:H54)+$H$31&lt;0,NPV($F$12,$H$32:H55)+$H$31&gt;0),FV($F$12,A55,,NPV($F$12,$I$32:I54)+$I$31),0))</f>
        <v>82768.21151184315</v>
      </c>
      <c r="J55" s="7">
        <f t="shared" si="3"/>
        <v>44567.49850637708</v>
      </c>
      <c r="K55" s="57">
        <f t="shared" si="11"/>
        <v>44567.49850637708</v>
      </c>
      <c r="L55" s="20">
        <f t="shared" si="12"/>
        <v>185110.2899817798</v>
      </c>
      <c r="M55" s="7">
        <f t="shared" si="4"/>
        <v>193834.38550091104</v>
      </c>
      <c r="N55" s="57">
        <f>IF(OR(hurdle2_rate=0,investor_share_hurdle2=0),I55,IF(NPV($F$16,$M$32:M55)+$M$31&lt;0,M55,0)+IF(AND(NPV($F$16,$M$32:M54)+$M$31&lt;0,NPV($F$16,$M$32:M55)+$M$31&gt;0),FV($F$16,A55,,NPV($F$16,$N$32:N54)+$N$31),0))</f>
        <v>163846.5418917085</v>
      </c>
      <c r="O55" s="7">
        <f t="shared" si="5"/>
        <v>54052.22025324357</v>
      </c>
      <c r="P55" s="57">
        <f t="shared" si="13"/>
        <v>98619.71875962065</v>
      </c>
      <c r="Q55" s="20">
        <f t="shared" si="14"/>
        <v>49979.739348670846</v>
      </c>
      <c r="R55" s="7">
        <f t="shared" si="6"/>
        <v>191335.39853347748</v>
      </c>
      <c r="S55" s="57">
        <f>IF(OR(hurdle3_rate=0,investor_share_hurdle3=0),N55,IF(NPV($F$19,$R$32:R55)+$R$31&lt;0,R55,0)+IF(AND(NPV($F$19,$R$32:R54)+$R$31&lt;0,NPV($F$19,$R$32:R55)+$R$31&gt;0),FV($F$19,A55,,NPV($F$19,$S$32:S54)+$S$31),0))</f>
        <v>191335.39853347748</v>
      </c>
      <c r="T55" s="7">
        <f t="shared" si="7"/>
        <v>22490.88270690188</v>
      </c>
      <c r="U55" s="57">
        <f t="shared" si="15"/>
        <v>121110.60146652252</v>
      </c>
      <c r="V55" s="20">
        <f t="shared" si="16"/>
        <v>0</v>
      </c>
      <c r="W55" s="57">
        <f t="shared" si="8"/>
        <v>191335.39853347748</v>
      </c>
      <c r="X55" s="57">
        <f t="shared" si="9"/>
        <v>121110.60146652252</v>
      </c>
      <c r="Y55" s="7">
        <f t="shared" si="17"/>
        <v>0</v>
      </c>
      <c r="Z55" s="20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</row>
    <row r="56" spans="1:99" ht="12.75">
      <c r="A56" s="2">
        <f t="shared" si="18"/>
        <v>25</v>
      </c>
      <c r="B56" s="59">
        <v>111788</v>
      </c>
      <c r="C56" s="20">
        <f t="shared" si="0"/>
        <v>100609.2</v>
      </c>
      <c r="D56" s="57">
        <f>IF(OR(preferred_return=0,investor_share_pref_return=0,developer_share_pref_return=0),0,IF(NPV($F$7,$C$32:C56)+$C$31&lt;0,C56,0)+IF(AND(NPV($F$7,$C$32:C55)+$C$31&lt;0,NPV($F$7,$C$32:C56)+$C$31&gt;0),FV($F$7,A56,,NPV($F$7,$D$32:D55)+$D$31),0))</f>
        <v>0</v>
      </c>
      <c r="E56" s="7">
        <f t="shared" si="1"/>
        <v>11178.799999999997</v>
      </c>
      <c r="F56" s="57">
        <f>IF(OR(preferred_return=0,investor_share_pref_return=0,developer_share_pref_return=0),0,IF(NPV($F$7,$E$32:E56)+$E$31&lt;0,E56,0)+IF(AND(NPV($F$7,$E$32:E55)+$E$31&lt;0,NPV($F$7,$E$32:E56)+$E$31&gt;0),FV($F$7,A56,,NPV($F$7,$F$32:F55)+$F$31),0))</f>
        <v>0</v>
      </c>
      <c r="G56" s="20">
        <f t="shared" si="10"/>
        <v>111788</v>
      </c>
      <c r="H56" s="7">
        <f t="shared" si="2"/>
        <v>72662.2</v>
      </c>
      <c r="I56" s="57">
        <f>IF(OR(hurdle1_rate=0,investor_share_hurdle1=0),D56,IF(NPV($F$12,$H$32:H56)+$H$31&lt;0,H56,0)+IF(AND(NPV($F$12,$H$32:H55)+$H$31&lt;0,NPV($F$12,$H$32:H56)+$H$31&gt;0),FV($F$12,A56,,NPV($F$12,$I$32:I55)+$I$31),0))</f>
        <v>0</v>
      </c>
      <c r="J56" s="7">
        <f t="shared" si="3"/>
        <v>0</v>
      </c>
      <c r="K56" s="57">
        <f t="shared" si="11"/>
        <v>0</v>
      </c>
      <c r="L56" s="20">
        <f t="shared" si="12"/>
        <v>111788</v>
      </c>
      <c r="M56" s="7">
        <f t="shared" si="4"/>
        <v>67072.8</v>
      </c>
      <c r="N56" s="57">
        <f>IF(OR(hurdle2_rate=0,investor_share_hurdle2=0),I56,IF(NPV($F$16,$M$32:M56)+$M$31&lt;0,M56,0)+IF(AND(NPV($F$16,$M$32:M55)+$M$31&lt;0,NPV($F$16,$M$32:M56)+$M$31&gt;0),FV($F$16,A56,,NPV($F$16,$N$32:N55)+$N$31),0))</f>
        <v>0</v>
      </c>
      <c r="O56" s="7">
        <f t="shared" si="5"/>
        <v>0</v>
      </c>
      <c r="P56" s="57">
        <f t="shared" si="13"/>
        <v>0</v>
      </c>
      <c r="Q56" s="20">
        <f t="shared" si="14"/>
        <v>111788</v>
      </c>
      <c r="R56" s="7">
        <f t="shared" si="6"/>
        <v>61483.4</v>
      </c>
      <c r="S56" s="57">
        <f>IF(OR(hurdle3_rate=0,investor_share_hurdle3=0),N56,IF(NPV($F$19,$R$32:R56)+$R$31&lt;0,R56,0)+IF(AND(NPV($F$19,$R$32:R55)+$R$31&lt;0,NPV($F$19,$R$32:R56)+$R$31&gt;0),FV($F$19,A56,,NPV($F$19,$S$32:S55)+$S$31),0))</f>
        <v>61483.4</v>
      </c>
      <c r="T56" s="7">
        <f t="shared" si="7"/>
        <v>50304.6</v>
      </c>
      <c r="U56" s="57">
        <f t="shared" si="15"/>
        <v>50304.6</v>
      </c>
      <c r="V56" s="20">
        <f t="shared" si="16"/>
        <v>0</v>
      </c>
      <c r="W56" s="57">
        <f t="shared" si="8"/>
        <v>61483.4</v>
      </c>
      <c r="X56" s="57">
        <f t="shared" si="9"/>
        <v>50304.6</v>
      </c>
      <c r="Y56" s="7">
        <f t="shared" si="17"/>
        <v>0</v>
      </c>
      <c r="Z56" s="20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</row>
    <row r="57" spans="1:99" ht="12.75">
      <c r="A57" s="2">
        <f t="shared" si="18"/>
        <v>26</v>
      </c>
      <c r="B57" s="59">
        <v>220000</v>
      </c>
      <c r="C57" s="20">
        <f t="shared" si="0"/>
        <v>198000</v>
      </c>
      <c r="D57" s="57">
        <f>IF(OR(preferred_return=0,investor_share_pref_return=0,developer_share_pref_return=0),0,IF(NPV($F$7,$C$32:C57)+$C$31&lt;0,C57,0)+IF(AND(NPV($F$7,$C$32:C56)+$C$31&lt;0,NPV($F$7,$C$32:C57)+$C$31&gt;0),FV($F$7,A57,,NPV($F$7,$D$32:D56)+$D$31),0))</f>
        <v>0</v>
      </c>
      <c r="E57" s="7">
        <f t="shared" si="1"/>
        <v>21999.999999999996</v>
      </c>
      <c r="F57" s="57">
        <f>IF(OR(preferred_return=0,investor_share_pref_return=0,developer_share_pref_return=0),0,IF(NPV($F$7,$E$32:E57)+$E$31&lt;0,E57,0)+IF(AND(NPV($F$7,$E$32:E56)+$E$31&lt;0,NPV($F$7,$E$32:E57)+$E$31&gt;0),FV($F$7,A57,,NPV($F$7,$F$32:F56)+$F$31),0))</f>
        <v>0</v>
      </c>
      <c r="G57" s="20">
        <f t="shared" si="10"/>
        <v>220000</v>
      </c>
      <c r="H57" s="7">
        <f t="shared" si="2"/>
        <v>143000</v>
      </c>
      <c r="I57" s="57">
        <f>IF(OR(hurdle1_rate=0,investor_share_hurdle1=0),D57,IF(NPV($F$12,$H$32:H57)+$H$31&lt;0,H57,0)+IF(AND(NPV($F$12,$H$32:H56)+$H$31&lt;0,NPV($F$12,$H$32:H57)+$H$31&gt;0),FV($F$12,A57,,NPV($F$12,$I$32:I56)+$I$31),0))</f>
        <v>0</v>
      </c>
      <c r="J57" s="7">
        <f t="shared" si="3"/>
        <v>0</v>
      </c>
      <c r="K57" s="57">
        <f t="shared" si="11"/>
        <v>0</v>
      </c>
      <c r="L57" s="20">
        <f t="shared" si="12"/>
        <v>220000</v>
      </c>
      <c r="M57" s="7">
        <f t="shared" si="4"/>
        <v>132000</v>
      </c>
      <c r="N57" s="57">
        <f>IF(OR(hurdle2_rate=0,investor_share_hurdle2=0),I57,IF(NPV($F$16,$M$32:M57)+$M$31&lt;0,M57,0)+IF(AND(NPV($F$16,$M$32:M56)+$M$31&lt;0,NPV($F$16,$M$32:M57)+$M$31&gt;0),FV($F$16,A57,,NPV($F$16,$N$32:N56)+$N$31),0))</f>
        <v>0</v>
      </c>
      <c r="O57" s="7">
        <f t="shared" si="5"/>
        <v>0</v>
      </c>
      <c r="P57" s="57">
        <f t="shared" si="13"/>
        <v>0</v>
      </c>
      <c r="Q57" s="20">
        <f t="shared" si="14"/>
        <v>220000</v>
      </c>
      <c r="R57" s="7">
        <f t="shared" si="6"/>
        <v>121000.00000000001</v>
      </c>
      <c r="S57" s="57">
        <f>IF(OR(hurdle3_rate=0,investor_share_hurdle3=0),N57,IF(NPV($F$19,$R$32:R57)+$R$31&lt;0,R57,0)+IF(AND(NPV($F$19,$R$32:R56)+$R$31&lt;0,NPV($F$19,$R$32:R57)+$R$31&gt;0),FV($F$19,A57,,NPV($F$19,$S$32:S56)+$S$31),0))</f>
        <v>86512.01215049873</v>
      </c>
      <c r="T57" s="7">
        <f t="shared" si="7"/>
        <v>70782.5553958626</v>
      </c>
      <c r="U57" s="57">
        <f t="shared" si="15"/>
        <v>70782.5553958626</v>
      </c>
      <c r="V57" s="20">
        <f t="shared" si="16"/>
        <v>62705.432453638656</v>
      </c>
      <c r="W57" s="57">
        <f t="shared" si="8"/>
        <v>117864.72837731807</v>
      </c>
      <c r="X57" s="57">
        <f t="shared" si="9"/>
        <v>102135.27162268193</v>
      </c>
      <c r="Y57" s="7">
        <f t="shared" si="17"/>
        <v>0</v>
      </c>
      <c r="Z57" s="20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</row>
    <row r="58" spans="1:99" ht="12.75">
      <c r="A58" s="2">
        <f t="shared" si="18"/>
        <v>27</v>
      </c>
      <c r="B58" s="59">
        <v>246890</v>
      </c>
      <c r="C58" s="20">
        <f t="shared" si="0"/>
        <v>222201</v>
      </c>
      <c r="D58" s="57">
        <f>IF(OR(preferred_return=0,investor_share_pref_return=0,developer_share_pref_return=0),0,IF(NPV($F$7,$C$32:C58)+$C$31&lt;0,C58,0)+IF(AND(NPV($F$7,$C$32:C57)+$C$31&lt;0,NPV($F$7,$C$32:C58)+$C$31&gt;0),FV($F$7,A58,,NPV($F$7,$D$32:D57)+$D$31),0))</f>
        <v>0</v>
      </c>
      <c r="E58" s="7">
        <f t="shared" si="1"/>
        <v>24688.999999999993</v>
      </c>
      <c r="F58" s="57">
        <f>IF(OR(preferred_return=0,investor_share_pref_return=0,developer_share_pref_return=0),0,IF(NPV($F$7,$E$32:E58)+$E$31&lt;0,E58,0)+IF(AND(NPV($F$7,$E$32:E57)+$E$31&lt;0,NPV($F$7,$E$32:E58)+$E$31&gt;0),FV($F$7,A58,,NPV($F$7,$F$32:F57)+$F$31),0))</f>
        <v>0</v>
      </c>
      <c r="G58" s="20">
        <f t="shared" si="10"/>
        <v>246890</v>
      </c>
      <c r="H58" s="7">
        <f t="shared" si="2"/>
        <v>160478.5</v>
      </c>
      <c r="I58" s="57">
        <f>IF(OR(hurdle1_rate=0,investor_share_hurdle1=0),D58,IF(NPV($F$12,$H$32:H58)+$H$31&lt;0,H58,0)+IF(AND(NPV($F$12,$H$32:H57)+$H$31&lt;0,NPV($F$12,$H$32:H58)+$H$31&gt;0),FV($F$12,A58,,NPV($F$12,$I$32:I57)+$I$31),0))</f>
        <v>0</v>
      </c>
      <c r="J58" s="7">
        <f t="shared" si="3"/>
        <v>0</v>
      </c>
      <c r="K58" s="57">
        <f t="shared" si="11"/>
        <v>0</v>
      </c>
      <c r="L58" s="20">
        <f t="shared" si="12"/>
        <v>246890</v>
      </c>
      <c r="M58" s="7">
        <f t="shared" si="4"/>
        <v>148134</v>
      </c>
      <c r="N58" s="57">
        <f>IF(OR(hurdle2_rate=0,investor_share_hurdle2=0),I58,IF(NPV($F$16,$M$32:M58)+$M$31&lt;0,M58,0)+IF(AND(NPV($F$16,$M$32:M57)+$M$31&lt;0,NPV($F$16,$M$32:M58)+$M$31&gt;0),FV($F$16,A58,,NPV($F$16,$N$32:N57)+$N$31),0))</f>
        <v>0</v>
      </c>
      <c r="O58" s="7">
        <f t="shared" si="5"/>
        <v>0</v>
      </c>
      <c r="P58" s="57">
        <f t="shared" si="13"/>
        <v>0</v>
      </c>
      <c r="Q58" s="20">
        <f t="shared" si="14"/>
        <v>246890</v>
      </c>
      <c r="R58" s="7">
        <f t="shared" si="6"/>
        <v>135789.5</v>
      </c>
      <c r="S58" s="57">
        <f>IF(OR(hurdle3_rate=0,investor_share_hurdle3=0),N58,IF(NPV($F$19,$R$32:R58)+$R$31&lt;0,R58,0)+IF(AND(NPV($F$19,$R$32:R57)+$R$31&lt;0,NPV($F$19,$R$32:R58)+$R$31&gt;0),FV($F$19,A58,,NPV($F$19,$S$32:S57)+$S$31),0))</f>
        <v>0</v>
      </c>
      <c r="T58" s="7">
        <f t="shared" si="7"/>
        <v>0</v>
      </c>
      <c r="U58" s="57">
        <f t="shared" si="15"/>
        <v>0</v>
      </c>
      <c r="V58" s="20">
        <f t="shared" si="16"/>
        <v>246890</v>
      </c>
      <c r="W58" s="57">
        <f t="shared" si="8"/>
        <v>123445</v>
      </c>
      <c r="X58" s="57">
        <f t="shared" si="9"/>
        <v>123445</v>
      </c>
      <c r="Y58" s="7">
        <f t="shared" si="17"/>
        <v>0</v>
      </c>
      <c r="Z58" s="20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</row>
    <row r="59" spans="1:99" ht="12.75">
      <c r="A59" s="2">
        <f t="shared" si="18"/>
        <v>28</v>
      </c>
      <c r="B59" s="59">
        <v>199678</v>
      </c>
      <c r="C59" s="20">
        <f t="shared" si="0"/>
        <v>179710.2</v>
      </c>
      <c r="D59" s="57">
        <f>IF(OR(preferred_return=0,investor_share_pref_return=0,developer_share_pref_return=0),0,IF(NPV($F$7,$C$32:C59)+$C$31&lt;0,C59,0)+IF(AND(NPV($F$7,$C$32:C58)+$C$31&lt;0,NPV($F$7,$C$32:C59)+$C$31&gt;0),FV($F$7,A59,,NPV($F$7,$D$32:D58)+$D$31),0))</f>
        <v>0</v>
      </c>
      <c r="E59" s="7">
        <f t="shared" si="1"/>
        <v>19967.799999999996</v>
      </c>
      <c r="F59" s="57">
        <f>IF(OR(preferred_return=0,investor_share_pref_return=0,developer_share_pref_return=0),0,IF(NPV($F$7,$E$32:E59)+$E$31&lt;0,E59,0)+IF(AND(NPV($F$7,$E$32:E58)+$E$31&lt;0,NPV($F$7,$E$32:E59)+$E$31&gt;0),FV($F$7,A59,,NPV($F$7,$F$32:F58)+$F$31),0))</f>
        <v>0</v>
      </c>
      <c r="G59" s="20">
        <f t="shared" si="10"/>
        <v>199678</v>
      </c>
      <c r="H59" s="7">
        <f t="shared" si="2"/>
        <v>129790.70000000001</v>
      </c>
      <c r="I59" s="57">
        <f>IF(OR(hurdle1_rate=0,investor_share_hurdle1=0),D59,IF(NPV($F$12,$H$32:H59)+$H$31&lt;0,H59,0)+IF(AND(NPV($F$12,$H$32:H58)+$H$31&lt;0,NPV($F$12,$H$32:H59)+$H$31&gt;0),FV($F$12,A59,,NPV($F$12,$I$32:I58)+$I$31),0))</f>
        <v>0</v>
      </c>
      <c r="J59" s="7">
        <f t="shared" si="3"/>
        <v>0</v>
      </c>
      <c r="K59" s="57">
        <f t="shared" si="11"/>
        <v>0</v>
      </c>
      <c r="L59" s="20">
        <f t="shared" si="12"/>
        <v>199678</v>
      </c>
      <c r="M59" s="7">
        <f t="shared" si="4"/>
        <v>119806.79999999999</v>
      </c>
      <c r="N59" s="57">
        <f>IF(OR(hurdle2_rate=0,investor_share_hurdle2=0),I59,IF(NPV($F$16,$M$32:M59)+$M$31&lt;0,M59,0)+IF(AND(NPV($F$16,$M$32:M58)+$M$31&lt;0,NPV($F$16,$M$32:M59)+$M$31&gt;0),FV($F$16,A59,,NPV($F$16,$N$32:N58)+$N$31),0))</f>
        <v>0</v>
      </c>
      <c r="O59" s="7">
        <f t="shared" si="5"/>
        <v>0</v>
      </c>
      <c r="P59" s="57">
        <f t="shared" si="13"/>
        <v>0</v>
      </c>
      <c r="Q59" s="20">
        <f t="shared" si="14"/>
        <v>199678</v>
      </c>
      <c r="R59" s="7">
        <f t="shared" si="6"/>
        <v>109822.90000000001</v>
      </c>
      <c r="S59" s="57">
        <f>IF(OR(hurdle3_rate=0,investor_share_hurdle3=0),N59,IF(NPV($F$19,$R$32:R59)+$R$31&lt;0,R59,0)+IF(AND(NPV($F$19,$R$32:R58)+$R$31&lt;0,NPV($F$19,$R$32:R59)+$R$31&gt;0),FV($F$19,A59,,NPV($F$19,$S$32:S58)+$S$31),0))</f>
        <v>0</v>
      </c>
      <c r="T59" s="7">
        <f t="shared" si="7"/>
        <v>0</v>
      </c>
      <c r="U59" s="57">
        <f t="shared" si="15"/>
        <v>0</v>
      </c>
      <c r="V59" s="20">
        <f t="shared" si="16"/>
        <v>199678</v>
      </c>
      <c r="W59" s="57">
        <f t="shared" si="8"/>
        <v>99839</v>
      </c>
      <c r="X59" s="57">
        <f t="shared" si="9"/>
        <v>99839</v>
      </c>
      <c r="Y59" s="7">
        <f t="shared" si="17"/>
        <v>0</v>
      </c>
      <c r="Z59" s="20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</row>
    <row r="60" spans="1:99" ht="12.75">
      <c r="A60" s="2">
        <f t="shared" si="18"/>
        <v>29</v>
      </c>
      <c r="B60" s="59">
        <v>266777</v>
      </c>
      <c r="C60" s="20">
        <f t="shared" si="0"/>
        <v>240099.30000000002</v>
      </c>
      <c r="D60" s="57">
        <f>IF(OR(preferred_return=0,investor_share_pref_return=0,developer_share_pref_return=0),0,IF(NPV($F$7,$C$32:C60)+$C$31&lt;0,C60,0)+IF(AND(NPV($F$7,$C$32:C59)+$C$31&lt;0,NPV($F$7,$C$32:C60)+$C$31&gt;0),FV($F$7,A60,,NPV($F$7,$D$32:D59)+$D$31),0))</f>
        <v>0</v>
      </c>
      <c r="E60" s="7">
        <f t="shared" si="1"/>
        <v>26677.699999999993</v>
      </c>
      <c r="F60" s="57">
        <f>IF(OR(preferred_return=0,investor_share_pref_return=0,developer_share_pref_return=0),0,IF(NPV($F$7,$E$32:E60)+$E$31&lt;0,E60,0)+IF(AND(NPV($F$7,$E$32:E59)+$E$31&lt;0,NPV($F$7,$E$32:E60)+$E$31&gt;0),FV($F$7,A60,,NPV($F$7,$F$32:F59)+$F$31),0))</f>
        <v>0</v>
      </c>
      <c r="G60" s="20">
        <f t="shared" si="10"/>
        <v>266777</v>
      </c>
      <c r="H60" s="7">
        <f t="shared" si="2"/>
        <v>173405.05000000002</v>
      </c>
      <c r="I60" s="57">
        <f>IF(OR(hurdle1_rate=0,investor_share_hurdle1=0),D60,IF(NPV($F$12,$H$32:H60)+$H$31&lt;0,H60,0)+IF(AND(NPV($F$12,$H$32:H59)+$H$31&lt;0,NPV($F$12,$H$32:H60)+$H$31&gt;0),FV($F$12,A60,,NPV($F$12,$I$32:I59)+$I$31),0))</f>
        <v>0</v>
      </c>
      <c r="J60" s="7">
        <f t="shared" si="3"/>
        <v>0</v>
      </c>
      <c r="K60" s="57">
        <f t="shared" si="11"/>
        <v>0</v>
      </c>
      <c r="L60" s="20">
        <f t="shared" si="12"/>
        <v>266777</v>
      </c>
      <c r="M60" s="7">
        <f t="shared" si="4"/>
        <v>160066.19999999998</v>
      </c>
      <c r="N60" s="57">
        <f>IF(OR(hurdle2_rate=0,investor_share_hurdle2=0),I60,IF(NPV($F$16,$M$32:M60)+$M$31&lt;0,M60,0)+IF(AND(NPV($F$16,$M$32:M59)+$M$31&lt;0,NPV($F$16,$M$32:M60)+$M$31&gt;0),FV($F$16,A60,,NPV($F$16,$N$32:N59)+$N$31),0))</f>
        <v>0</v>
      </c>
      <c r="O60" s="7">
        <f t="shared" si="5"/>
        <v>0</v>
      </c>
      <c r="P60" s="57">
        <f t="shared" si="13"/>
        <v>0</v>
      </c>
      <c r="Q60" s="20">
        <f t="shared" si="14"/>
        <v>266777</v>
      </c>
      <c r="R60" s="7">
        <f t="shared" si="6"/>
        <v>146727.35</v>
      </c>
      <c r="S60" s="57">
        <f>IF(OR(hurdle3_rate=0,investor_share_hurdle3=0),N60,IF(NPV($F$19,$R$32:R60)+$R$31&lt;0,R60,0)+IF(AND(NPV($F$19,$R$32:R59)+$R$31&lt;0,NPV($F$19,$R$32:R60)+$R$31&gt;0),FV($F$19,A60,,NPV($F$19,$S$32:S59)+$S$31),0))</f>
        <v>0</v>
      </c>
      <c r="T60" s="7">
        <f t="shared" si="7"/>
        <v>0</v>
      </c>
      <c r="U60" s="57">
        <f t="shared" si="15"/>
        <v>0</v>
      </c>
      <c r="V60" s="20">
        <f t="shared" si="16"/>
        <v>266777</v>
      </c>
      <c r="W60" s="57">
        <f t="shared" si="8"/>
        <v>133388.5</v>
      </c>
      <c r="X60" s="57">
        <f t="shared" si="9"/>
        <v>133388.5</v>
      </c>
      <c r="Y60" s="7">
        <f t="shared" si="17"/>
        <v>0</v>
      </c>
      <c r="Z60" s="20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</row>
    <row r="61" spans="1:99" ht="12.75">
      <c r="A61" s="2">
        <f t="shared" si="18"/>
        <v>30</v>
      </c>
      <c r="B61" s="59">
        <v>244444</v>
      </c>
      <c r="C61" s="20">
        <f t="shared" si="0"/>
        <v>219999.6</v>
      </c>
      <c r="D61" s="57">
        <f>IF(OR(preferred_return=0,investor_share_pref_return=0,developer_share_pref_return=0),0,IF(NPV($F$7,$C$32:C61)+$C$31&lt;0,C61,0)+IF(AND(NPV($F$7,$C$32:C60)+$C$31&lt;0,NPV($F$7,$C$32:C61)+$C$31&gt;0),FV($F$7,A61,,NPV($F$7,$D$32:D60)+$D$31),0))</f>
        <v>0</v>
      </c>
      <c r="E61" s="7">
        <f t="shared" si="1"/>
        <v>24444.399999999994</v>
      </c>
      <c r="F61" s="57">
        <f>IF(OR(preferred_return=0,investor_share_pref_return=0,developer_share_pref_return=0),0,IF(NPV($F$7,$E$32:E61)+$E$31&lt;0,E61,0)+IF(AND(NPV($F$7,$E$32:E60)+$E$31&lt;0,NPV($F$7,$E$32:E61)+$E$31&gt;0),FV($F$7,A61,,NPV($F$7,$F$32:F60)+$F$31),0))</f>
        <v>0</v>
      </c>
      <c r="G61" s="20">
        <f t="shared" si="10"/>
        <v>244444</v>
      </c>
      <c r="H61" s="7">
        <f t="shared" si="2"/>
        <v>158888.6</v>
      </c>
      <c r="I61" s="57">
        <f>IF(OR(hurdle1_rate=0,investor_share_hurdle1=0),D61,IF(NPV($F$12,$H$32:H61)+$H$31&lt;0,H61,0)+IF(AND(NPV($F$12,$H$32:H60)+$H$31&lt;0,NPV($F$12,$H$32:H61)+$H$31&gt;0),FV($F$12,A61,,NPV($F$12,$I$32:I60)+$I$31),0))</f>
        <v>0</v>
      </c>
      <c r="J61" s="7">
        <f t="shared" si="3"/>
        <v>0</v>
      </c>
      <c r="K61" s="57">
        <f t="shared" si="11"/>
        <v>0</v>
      </c>
      <c r="L61" s="20">
        <f t="shared" si="12"/>
        <v>244444</v>
      </c>
      <c r="M61" s="7">
        <f t="shared" si="4"/>
        <v>146666.4</v>
      </c>
      <c r="N61" s="57">
        <f>IF(OR(hurdle2_rate=0,investor_share_hurdle2=0),I61,IF(NPV($F$16,$M$32:M61)+$M$31&lt;0,M61,0)+IF(AND(NPV($F$16,$M$32:M60)+$M$31&lt;0,NPV($F$16,$M$32:M61)+$M$31&gt;0),FV($F$16,A61,,NPV($F$16,$N$32:N60)+$N$31),0))</f>
        <v>0</v>
      </c>
      <c r="O61" s="7">
        <f t="shared" si="5"/>
        <v>0</v>
      </c>
      <c r="P61" s="57">
        <f t="shared" si="13"/>
        <v>0</v>
      </c>
      <c r="Q61" s="20">
        <f t="shared" si="14"/>
        <v>244444</v>
      </c>
      <c r="R61" s="7">
        <f t="shared" si="6"/>
        <v>134444.2</v>
      </c>
      <c r="S61" s="57">
        <f>IF(OR(hurdle3_rate=0,investor_share_hurdle3=0),N61,IF(NPV($F$19,$R$32:R61)+$R$31&lt;0,R61,0)+IF(AND(NPV($F$19,$R$32:R60)+$R$31&lt;0,NPV($F$19,$R$32:R61)+$R$31&gt;0),FV($F$19,A61,,NPV($F$19,$S$32:S60)+$S$31),0))</f>
        <v>0</v>
      </c>
      <c r="T61" s="7">
        <f t="shared" si="7"/>
        <v>0</v>
      </c>
      <c r="U61" s="57">
        <f t="shared" si="15"/>
        <v>0</v>
      </c>
      <c r="V61" s="20">
        <f t="shared" si="16"/>
        <v>244444</v>
      </c>
      <c r="W61" s="57">
        <f t="shared" si="8"/>
        <v>122222</v>
      </c>
      <c r="X61" s="57">
        <f t="shared" si="9"/>
        <v>122222</v>
      </c>
      <c r="Y61" s="7">
        <f t="shared" si="17"/>
        <v>0</v>
      </c>
      <c r="Z61" s="20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</row>
    <row r="62" spans="1:99" ht="12.75">
      <c r="A62" s="2">
        <f t="shared" si="18"/>
        <v>31</v>
      </c>
      <c r="B62" s="59">
        <v>288888</v>
      </c>
      <c r="C62" s="20">
        <f t="shared" si="0"/>
        <v>259999.2</v>
      </c>
      <c r="D62" s="57">
        <f>IF(OR(preferred_return=0,investor_share_pref_return=0,developer_share_pref_return=0),0,IF(NPV($F$7,$C$32:C62)+$C$31&lt;0,C62,0)+IF(AND(NPV($F$7,$C$32:C61)+$C$31&lt;0,NPV($F$7,$C$32:C62)+$C$31&gt;0),FV($F$7,A62,,NPV($F$7,$D$32:D61)+$D$31),0))</f>
        <v>0</v>
      </c>
      <c r="E62" s="7">
        <f t="shared" si="1"/>
        <v>28888.799999999992</v>
      </c>
      <c r="F62" s="57">
        <f>IF(OR(preferred_return=0,investor_share_pref_return=0,developer_share_pref_return=0),0,IF(NPV($F$7,$E$32:E62)+$E$31&lt;0,E62,0)+IF(AND(NPV($F$7,$E$32:E61)+$E$31&lt;0,NPV($F$7,$E$32:E62)+$E$31&gt;0),FV($F$7,A62,,NPV($F$7,$F$32:F61)+$F$31),0))</f>
        <v>0</v>
      </c>
      <c r="G62" s="20">
        <f t="shared" si="10"/>
        <v>288888</v>
      </c>
      <c r="H62" s="7">
        <f t="shared" si="2"/>
        <v>187777.2</v>
      </c>
      <c r="I62" s="57">
        <f>IF(OR(hurdle1_rate=0,investor_share_hurdle1=0),D62,IF(NPV($F$12,$H$32:H62)+$H$31&lt;0,H62,0)+IF(AND(NPV($F$12,$H$32:H61)+$H$31&lt;0,NPV($F$12,$H$32:H62)+$H$31&gt;0),FV($F$12,A62,,NPV($F$12,$I$32:I61)+$I$31),0))</f>
        <v>0</v>
      </c>
      <c r="J62" s="7">
        <f t="shared" si="3"/>
        <v>0</v>
      </c>
      <c r="K62" s="57">
        <f t="shared" si="11"/>
        <v>0</v>
      </c>
      <c r="L62" s="20">
        <f t="shared" si="12"/>
        <v>288888</v>
      </c>
      <c r="M62" s="7">
        <f t="shared" si="4"/>
        <v>173332.8</v>
      </c>
      <c r="N62" s="57">
        <f>IF(OR(hurdle2_rate=0,investor_share_hurdle2=0),I62,IF(NPV($F$16,$M$32:M62)+$M$31&lt;0,M62,0)+IF(AND(NPV($F$16,$M$32:M61)+$M$31&lt;0,NPV($F$16,$M$32:M62)+$M$31&gt;0),FV($F$16,A62,,NPV($F$16,$N$32:N61)+$N$31),0))</f>
        <v>0</v>
      </c>
      <c r="O62" s="7">
        <f t="shared" si="5"/>
        <v>0</v>
      </c>
      <c r="P62" s="57">
        <f t="shared" si="13"/>
        <v>0</v>
      </c>
      <c r="Q62" s="20">
        <f t="shared" si="14"/>
        <v>288888</v>
      </c>
      <c r="R62" s="7">
        <f t="shared" si="6"/>
        <v>158888.40000000002</v>
      </c>
      <c r="S62" s="57">
        <f>IF(OR(hurdle3_rate=0,investor_share_hurdle3=0),N62,IF(NPV($F$19,$R$32:R62)+$R$31&lt;0,R62,0)+IF(AND(NPV($F$19,$R$32:R61)+$R$31&lt;0,NPV($F$19,$R$32:R62)+$R$31&gt;0),FV($F$19,A62,,NPV($F$19,$S$32:S61)+$S$31),0))</f>
        <v>0</v>
      </c>
      <c r="T62" s="7">
        <f t="shared" si="7"/>
        <v>0</v>
      </c>
      <c r="U62" s="57">
        <f t="shared" si="15"/>
        <v>0</v>
      </c>
      <c r="V62" s="20">
        <f t="shared" si="16"/>
        <v>288888</v>
      </c>
      <c r="W62" s="57">
        <f t="shared" si="8"/>
        <v>144444</v>
      </c>
      <c r="X62" s="57">
        <f t="shared" si="9"/>
        <v>144444</v>
      </c>
      <c r="Y62" s="7">
        <f t="shared" si="17"/>
        <v>0</v>
      </c>
      <c r="Z62" s="20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</row>
    <row r="63" spans="1:99" ht="12.75">
      <c r="A63" s="2">
        <f t="shared" si="18"/>
        <v>32</v>
      </c>
      <c r="B63" s="59">
        <v>300112</v>
      </c>
      <c r="C63" s="20">
        <f t="shared" si="0"/>
        <v>270100.8</v>
      </c>
      <c r="D63" s="57">
        <f>IF(OR(preferred_return=0,investor_share_pref_return=0,developer_share_pref_return=0),0,IF(NPV($F$7,$C$32:C63)+$C$31&lt;0,C63,0)+IF(AND(NPV($F$7,$C$32:C62)+$C$31&lt;0,NPV($F$7,$C$32:C63)+$C$31&gt;0),FV($F$7,A63,,NPV($F$7,$D$32:D62)+$D$31),0))</f>
        <v>0</v>
      </c>
      <c r="E63" s="7">
        <f t="shared" si="1"/>
        <v>30011.199999999993</v>
      </c>
      <c r="F63" s="57">
        <f>IF(OR(preferred_return=0,investor_share_pref_return=0,developer_share_pref_return=0),0,IF(NPV($F$7,$E$32:E63)+$E$31&lt;0,E63,0)+IF(AND(NPV($F$7,$E$32:E62)+$E$31&lt;0,NPV($F$7,$E$32:E63)+$E$31&gt;0),FV($F$7,A63,,NPV($F$7,$F$32:F62)+$F$31),0))</f>
        <v>0</v>
      </c>
      <c r="G63" s="20">
        <f t="shared" si="10"/>
        <v>300112</v>
      </c>
      <c r="H63" s="7">
        <f t="shared" si="2"/>
        <v>195072.80000000002</v>
      </c>
      <c r="I63" s="57">
        <f>IF(OR(hurdle1_rate=0,investor_share_hurdle1=0),D63,IF(NPV($F$12,$H$32:H63)+$H$31&lt;0,H63,0)+IF(AND(NPV($F$12,$H$32:H62)+$H$31&lt;0,NPV($F$12,$H$32:H63)+$H$31&gt;0),FV($F$12,A63,,NPV($F$12,$I$32:I62)+$I$31),0))</f>
        <v>0</v>
      </c>
      <c r="J63" s="7">
        <f t="shared" si="3"/>
        <v>0</v>
      </c>
      <c r="K63" s="57">
        <f t="shared" si="11"/>
        <v>0</v>
      </c>
      <c r="L63" s="20">
        <f t="shared" si="12"/>
        <v>300112</v>
      </c>
      <c r="M63" s="7">
        <f t="shared" si="4"/>
        <v>180067.19999999998</v>
      </c>
      <c r="N63" s="57">
        <f>IF(OR(hurdle2_rate=0,investor_share_hurdle2=0),I63,IF(NPV($F$16,$M$32:M63)+$M$31&lt;0,M63,0)+IF(AND(NPV($F$16,$M$32:M62)+$M$31&lt;0,NPV($F$16,$M$32:M63)+$M$31&gt;0),FV($F$16,A63,,NPV($F$16,$N$32:N62)+$N$31),0))</f>
        <v>0</v>
      </c>
      <c r="O63" s="7">
        <f t="shared" si="5"/>
        <v>0</v>
      </c>
      <c r="P63" s="57">
        <f t="shared" si="13"/>
        <v>0</v>
      </c>
      <c r="Q63" s="20">
        <f t="shared" si="14"/>
        <v>300112</v>
      </c>
      <c r="R63" s="7">
        <f t="shared" si="6"/>
        <v>165061.6</v>
      </c>
      <c r="S63" s="57">
        <f>IF(OR(hurdle3_rate=0,investor_share_hurdle3=0),N63,IF(NPV($F$19,$R$32:R63)+$R$31&lt;0,R63,0)+IF(AND(NPV($F$19,$R$32:R62)+$R$31&lt;0,NPV($F$19,$R$32:R63)+$R$31&gt;0),FV($F$19,A63,,NPV($F$19,$S$32:S62)+$S$31),0))</f>
        <v>0</v>
      </c>
      <c r="T63" s="7">
        <f t="shared" si="7"/>
        <v>0</v>
      </c>
      <c r="U63" s="57">
        <f t="shared" si="15"/>
        <v>0</v>
      </c>
      <c r="V63" s="20">
        <f t="shared" si="16"/>
        <v>300112</v>
      </c>
      <c r="W63" s="57">
        <f t="shared" si="8"/>
        <v>150056</v>
      </c>
      <c r="X63" s="57">
        <f t="shared" si="9"/>
        <v>150056</v>
      </c>
      <c r="Y63" s="7">
        <f t="shared" si="17"/>
        <v>0</v>
      </c>
      <c r="Z63" s="20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</row>
    <row r="64" spans="1:26" ht="12.75">
      <c r="A64" s="2">
        <f t="shared" si="18"/>
        <v>33</v>
      </c>
      <c r="B64" s="59">
        <v>122000</v>
      </c>
      <c r="C64" s="20">
        <f t="shared" si="0"/>
        <v>109800</v>
      </c>
      <c r="D64" s="57">
        <f>IF(OR(preferred_return=0,investor_share_pref_return=0,developer_share_pref_return=0),0,IF(NPV($F$7,$C$32:C64)+$C$31&lt;0,C64,0)+IF(AND(NPV($F$7,$C$32:C63)+$C$31&lt;0,NPV($F$7,$C$32:C64)+$C$31&gt;0),FV($F$7,A64,,NPV($F$7,$D$32:D63)+$D$31),0))</f>
        <v>0</v>
      </c>
      <c r="E64" s="7">
        <f t="shared" si="1"/>
        <v>12199.999999999998</v>
      </c>
      <c r="F64" s="57">
        <f>IF(OR(preferred_return=0,investor_share_pref_return=0,developer_share_pref_return=0),0,IF(NPV($F$7,$E$32:E64)+$E$31&lt;0,E64,0)+IF(AND(NPV($F$7,$E$32:E63)+$E$31&lt;0,NPV($F$7,$E$32:E64)+$E$31&gt;0),FV($F$7,A64,,NPV($F$7,$F$32:F63)+$F$31),0))</f>
        <v>0</v>
      </c>
      <c r="G64" s="20">
        <f t="shared" si="10"/>
        <v>122000</v>
      </c>
      <c r="H64" s="7">
        <f t="shared" si="2"/>
        <v>79300</v>
      </c>
      <c r="I64" s="57">
        <f>IF(OR(hurdle1_rate=0,investor_share_hurdle1=0),D64,IF(NPV($F$12,$H$32:H64)+$H$31&lt;0,H64,0)+IF(AND(NPV($F$12,$H$32:H63)+$H$31&lt;0,NPV($F$12,$H$32:H64)+$H$31&gt;0),FV($F$12,A64,,NPV($F$12,$I$32:I63)+$I$31),0))</f>
        <v>0</v>
      </c>
      <c r="J64" s="7">
        <f t="shared" si="3"/>
        <v>0</v>
      </c>
      <c r="K64" s="57">
        <f t="shared" si="11"/>
        <v>0</v>
      </c>
      <c r="L64" s="20">
        <f t="shared" si="12"/>
        <v>122000</v>
      </c>
      <c r="M64" s="7">
        <f t="shared" si="4"/>
        <v>73200</v>
      </c>
      <c r="N64" s="57">
        <f>IF(OR(hurdle2_rate=0,investor_share_hurdle2=0),I64,IF(NPV($F$16,$M$32:M64)+$M$31&lt;0,M64,0)+IF(AND(NPV($F$16,$M$32:M63)+$M$31&lt;0,NPV($F$16,$M$32:M64)+$M$31&gt;0),FV($F$16,A64,,NPV($F$16,$N$32:N63)+$N$31),0))</f>
        <v>0</v>
      </c>
      <c r="O64" s="7">
        <f t="shared" si="5"/>
        <v>0</v>
      </c>
      <c r="P64" s="57">
        <f t="shared" si="13"/>
        <v>0</v>
      </c>
      <c r="Q64" s="20">
        <f t="shared" si="14"/>
        <v>122000</v>
      </c>
      <c r="R64" s="7">
        <f t="shared" si="6"/>
        <v>67100</v>
      </c>
      <c r="S64" s="57">
        <f>IF(OR(hurdle3_rate=0,investor_share_hurdle3=0),N64,IF(NPV($F$19,$R$32:R64)+$R$31&lt;0,R64,0)+IF(AND(NPV($F$19,$R$32:R63)+$R$31&lt;0,NPV($F$19,$R$32:R64)+$R$31&gt;0),FV($F$19,A64,,NPV($F$19,$S$32:S63)+$S$31),0))</f>
        <v>0</v>
      </c>
      <c r="T64" s="7">
        <f t="shared" si="7"/>
        <v>0</v>
      </c>
      <c r="U64" s="57">
        <f t="shared" si="15"/>
        <v>0</v>
      </c>
      <c r="V64" s="20">
        <f t="shared" si="16"/>
        <v>122000</v>
      </c>
      <c r="W64" s="57">
        <f t="shared" si="8"/>
        <v>61000</v>
      </c>
      <c r="X64" s="57">
        <f t="shared" si="9"/>
        <v>61000</v>
      </c>
      <c r="Y64" s="7">
        <f t="shared" si="17"/>
        <v>0</v>
      </c>
      <c r="Z64" s="21"/>
    </row>
    <row r="65" spans="1:26" ht="12.75">
      <c r="A65" s="2">
        <f t="shared" si="18"/>
        <v>34</v>
      </c>
      <c r="B65" s="59">
        <v>45890</v>
      </c>
      <c r="C65" s="20">
        <f t="shared" si="0"/>
        <v>41301</v>
      </c>
      <c r="D65" s="57">
        <f>IF(OR(preferred_return=0,investor_share_pref_return=0,developer_share_pref_return=0),0,IF(NPV($F$7,$C$32:C65)+$C$31&lt;0,C65,0)+IF(AND(NPV($F$7,$C$32:C64)+$C$31&lt;0,NPV($F$7,$C$32:C65)+$C$31&gt;0),FV($F$7,A65,,NPV($F$7,$D$32:D64)+$D$31),0))</f>
        <v>0</v>
      </c>
      <c r="E65" s="7">
        <f t="shared" si="1"/>
        <v>4588.999999999999</v>
      </c>
      <c r="F65" s="57">
        <f>IF(OR(preferred_return=0,investor_share_pref_return=0,developer_share_pref_return=0),0,IF(NPV($F$7,$E$32:E65)+$E$31&lt;0,E65,0)+IF(AND(NPV($F$7,$E$32:E64)+$E$31&lt;0,NPV($F$7,$E$32:E65)+$E$31&gt;0),FV($F$7,A65,,NPV($F$7,$F$32:F64)+$F$31),0))</f>
        <v>0</v>
      </c>
      <c r="G65" s="20">
        <f t="shared" si="10"/>
        <v>45890</v>
      </c>
      <c r="H65" s="7">
        <f t="shared" si="2"/>
        <v>29828.5</v>
      </c>
      <c r="I65" s="57">
        <f>IF(OR(hurdle1_rate=0,investor_share_hurdle1=0),D65,IF(NPV($F$12,$H$32:H65)+$H$31&lt;0,H65,0)+IF(AND(NPV($F$12,$H$32:H64)+$H$31&lt;0,NPV($F$12,$H$32:H65)+$H$31&gt;0),FV($F$12,A65,,NPV($F$12,$I$32:I64)+$I$31),0))</f>
        <v>0</v>
      </c>
      <c r="J65" s="7">
        <f t="shared" si="3"/>
        <v>0</v>
      </c>
      <c r="K65" s="57">
        <f t="shared" si="11"/>
        <v>0</v>
      </c>
      <c r="L65" s="20">
        <f t="shared" si="12"/>
        <v>45890</v>
      </c>
      <c r="M65" s="7">
        <f t="shared" si="4"/>
        <v>27534</v>
      </c>
      <c r="N65" s="57">
        <f>IF(OR(hurdle2_rate=0,investor_share_hurdle2=0),I65,IF(NPV($F$16,$M$32:M65)+$M$31&lt;0,M65,0)+IF(AND(NPV($F$16,$M$32:M64)+$M$31&lt;0,NPV($F$16,$M$32:M65)+$M$31&gt;0),FV($F$16,A65,,NPV($F$16,$N$32:N64)+$N$31),0))</f>
        <v>0</v>
      </c>
      <c r="O65" s="7">
        <f t="shared" si="5"/>
        <v>0</v>
      </c>
      <c r="P65" s="57">
        <f t="shared" si="13"/>
        <v>0</v>
      </c>
      <c r="Q65" s="20">
        <f t="shared" si="14"/>
        <v>45890</v>
      </c>
      <c r="R65" s="7">
        <f t="shared" si="6"/>
        <v>25239.500000000004</v>
      </c>
      <c r="S65" s="57">
        <f>IF(OR(hurdle3_rate=0,investor_share_hurdle3=0),N65,IF(NPV($F$19,$R$32:R65)+$R$31&lt;0,R65,0)+IF(AND(NPV($F$19,$R$32:R64)+$R$31&lt;0,NPV($F$19,$R$32:R65)+$R$31&gt;0),FV($F$19,A65,,NPV($F$19,$S$32:S64)+$S$31),0))</f>
        <v>0</v>
      </c>
      <c r="T65" s="7">
        <f t="shared" si="7"/>
        <v>0</v>
      </c>
      <c r="U65" s="57">
        <f t="shared" si="15"/>
        <v>0</v>
      </c>
      <c r="V65" s="20">
        <f t="shared" si="16"/>
        <v>45890</v>
      </c>
      <c r="W65" s="57">
        <f t="shared" si="8"/>
        <v>22945</v>
      </c>
      <c r="X65" s="57">
        <f t="shared" si="9"/>
        <v>22945</v>
      </c>
      <c r="Y65" s="7">
        <f t="shared" si="17"/>
        <v>0</v>
      </c>
      <c r="Z65" s="21"/>
    </row>
    <row r="66" spans="1:26" ht="12.75">
      <c r="A66" s="2">
        <f t="shared" si="18"/>
        <v>35</v>
      </c>
      <c r="B66" s="59">
        <v>21500</v>
      </c>
      <c r="C66" s="20">
        <f t="shared" si="0"/>
        <v>19350</v>
      </c>
      <c r="D66" s="57">
        <f>IF(OR(preferred_return=0,investor_share_pref_return=0,developer_share_pref_return=0),0,IF(NPV($F$7,$C$32:C66)+$C$31&lt;0,C66,0)+IF(AND(NPV($F$7,$C$32:C65)+$C$31&lt;0,NPV($F$7,$C$32:C66)+$C$31&gt;0),FV($F$7,A66,,NPV($F$7,$D$32:D65)+$D$31),0))</f>
        <v>0</v>
      </c>
      <c r="E66" s="7">
        <f t="shared" si="1"/>
        <v>2149.9999999999995</v>
      </c>
      <c r="F66" s="57">
        <f>IF(OR(preferred_return=0,investor_share_pref_return=0,developer_share_pref_return=0),0,IF(NPV($F$7,$E$32:E66)+$E$31&lt;0,E66,0)+IF(AND(NPV($F$7,$E$32:E65)+$E$31&lt;0,NPV($F$7,$E$32:E66)+$E$31&gt;0),FV($F$7,A66,,NPV($F$7,$F$32:F65)+$F$31),0))</f>
        <v>0</v>
      </c>
      <c r="G66" s="20">
        <f t="shared" si="10"/>
        <v>21500</v>
      </c>
      <c r="H66" s="7">
        <f t="shared" si="2"/>
        <v>13975</v>
      </c>
      <c r="I66" s="57">
        <f>IF(OR(hurdle1_rate=0,investor_share_hurdle1=0),D66,IF(NPV($F$12,$H$32:H66)+$H$31&lt;0,H66,0)+IF(AND(NPV($F$12,$H$32:H65)+$H$31&lt;0,NPV($F$12,$H$32:H66)+$H$31&gt;0),FV($F$12,A66,,NPV($F$12,$I$32:I65)+$I$31),0))</f>
        <v>0</v>
      </c>
      <c r="J66" s="7">
        <f t="shared" si="3"/>
        <v>0</v>
      </c>
      <c r="K66" s="57">
        <f t="shared" si="11"/>
        <v>0</v>
      </c>
      <c r="L66" s="20">
        <f t="shared" si="12"/>
        <v>21500</v>
      </c>
      <c r="M66" s="7">
        <f t="shared" si="4"/>
        <v>12900</v>
      </c>
      <c r="N66" s="57">
        <f>IF(OR(hurdle2_rate=0,investor_share_hurdle2=0),I66,IF(NPV($F$16,$M$32:M66)+$M$31&lt;0,M66,0)+IF(AND(NPV($F$16,$M$32:M65)+$M$31&lt;0,NPV($F$16,$M$32:M66)+$M$31&gt;0),FV($F$16,A66,,NPV($F$16,$N$32:N65)+$N$31),0))</f>
        <v>0</v>
      </c>
      <c r="O66" s="7">
        <f t="shared" si="5"/>
        <v>0</v>
      </c>
      <c r="P66" s="57">
        <f t="shared" si="13"/>
        <v>0</v>
      </c>
      <c r="Q66" s="20">
        <f t="shared" si="14"/>
        <v>21500</v>
      </c>
      <c r="R66" s="7">
        <f t="shared" si="6"/>
        <v>11825.000000000002</v>
      </c>
      <c r="S66" s="57">
        <f>IF(OR(hurdle3_rate=0,investor_share_hurdle3=0),N66,IF(NPV($F$19,$R$32:R66)+$R$31&lt;0,R66,0)+IF(AND(NPV($F$19,$R$32:R65)+$R$31&lt;0,NPV($F$19,$R$32:R66)+$R$31&gt;0),FV($F$19,A66,,NPV($F$19,$S$32:S65)+$S$31),0))</f>
        <v>0</v>
      </c>
      <c r="T66" s="7">
        <f t="shared" si="7"/>
        <v>0</v>
      </c>
      <c r="U66" s="57">
        <f t="shared" si="15"/>
        <v>0</v>
      </c>
      <c r="V66" s="20">
        <f t="shared" si="16"/>
        <v>21500</v>
      </c>
      <c r="W66" s="57">
        <f t="shared" si="8"/>
        <v>10750</v>
      </c>
      <c r="X66" s="57">
        <f t="shared" si="9"/>
        <v>10750</v>
      </c>
      <c r="Y66" s="7">
        <f t="shared" si="17"/>
        <v>0</v>
      </c>
      <c r="Z66" s="21"/>
    </row>
    <row r="67" spans="1:26" ht="12.75">
      <c r="A67" s="2">
        <f t="shared" si="18"/>
        <v>36</v>
      </c>
      <c r="B67" s="59">
        <v>8650</v>
      </c>
      <c r="C67" s="20">
        <f t="shared" si="0"/>
        <v>7785</v>
      </c>
      <c r="D67" s="57">
        <f>IF(OR(preferred_return=0,investor_share_pref_return=0,developer_share_pref_return=0),0,IF(NPV($F$7,$C$32:C67)+$C$31&lt;0,C67,0)+IF(AND(NPV($F$7,$C$32:C66)+$C$31&lt;0,NPV($F$7,$C$32:C67)+$C$31&gt;0),FV($F$7,A67,,NPV($F$7,$D$32:D66)+$D$31),0))</f>
        <v>0</v>
      </c>
      <c r="E67" s="7">
        <f t="shared" si="1"/>
        <v>864.9999999999998</v>
      </c>
      <c r="F67" s="57">
        <f>IF(OR(preferred_return=0,investor_share_pref_return=0,developer_share_pref_return=0),0,IF(NPV($F$7,$E$32:E67)+$E$31&lt;0,E67,0)+IF(AND(NPV($F$7,$E$32:E66)+$E$31&lt;0,NPV($F$7,$E$32:E67)+$E$31&gt;0),FV($F$7,A67,,NPV($F$7,$F$32:F66)+$F$31),0))</f>
        <v>0</v>
      </c>
      <c r="G67" s="20">
        <f t="shared" si="10"/>
        <v>8650</v>
      </c>
      <c r="H67" s="7">
        <f t="shared" si="2"/>
        <v>5622.5</v>
      </c>
      <c r="I67" s="57">
        <f>IF(OR(hurdle1_rate=0,investor_share_hurdle1=0),D67,IF(NPV($F$12,$H$32:H67)+$H$31&lt;0,H67,0)+IF(AND(NPV($F$12,$H$32:H66)+$H$31&lt;0,NPV($F$12,$H$32:H67)+$H$31&gt;0),FV($F$12,A67,,NPV($F$12,$I$32:I66)+$I$31),0))</f>
        <v>0</v>
      </c>
      <c r="J67" s="7">
        <f t="shared" si="3"/>
        <v>0</v>
      </c>
      <c r="K67" s="57">
        <f t="shared" si="11"/>
        <v>0</v>
      </c>
      <c r="L67" s="20">
        <f t="shared" si="12"/>
        <v>8650</v>
      </c>
      <c r="M67" s="7">
        <f t="shared" si="4"/>
        <v>5190</v>
      </c>
      <c r="N67" s="57">
        <f>IF(OR(hurdle2_rate=0,investor_share_hurdle2=0),I67,IF(NPV($F$16,$M$32:M67)+$M$31&lt;0,M67,0)+IF(AND(NPV($F$16,$M$32:M66)+$M$31&lt;0,NPV($F$16,$M$32:M67)+$M$31&gt;0),FV($F$16,A67,,NPV($F$16,$N$32:N66)+$N$31),0))</f>
        <v>0</v>
      </c>
      <c r="O67" s="7">
        <f t="shared" si="5"/>
        <v>0</v>
      </c>
      <c r="P67" s="57">
        <f t="shared" si="13"/>
        <v>0</v>
      </c>
      <c r="Q67" s="20">
        <f t="shared" si="14"/>
        <v>8650</v>
      </c>
      <c r="R67" s="7">
        <f t="shared" si="6"/>
        <v>4757.5</v>
      </c>
      <c r="S67" s="57">
        <f>IF(OR(hurdle3_rate=0,investor_share_hurdle3=0),N67,IF(NPV($F$19,$R$32:R67)+$R$31&lt;0,R67,0)+IF(AND(NPV($F$19,$R$32:R66)+$R$31&lt;0,NPV($F$19,$R$32:R67)+$R$31&gt;0),FV($F$19,A67,,NPV($F$19,$S$32:S66)+$S$31),0))</f>
        <v>0</v>
      </c>
      <c r="T67" s="7">
        <f t="shared" si="7"/>
        <v>0</v>
      </c>
      <c r="U67" s="57">
        <f t="shared" si="15"/>
        <v>0</v>
      </c>
      <c r="V67" s="20">
        <f t="shared" si="16"/>
        <v>8650</v>
      </c>
      <c r="W67" s="57">
        <f t="shared" si="8"/>
        <v>4325</v>
      </c>
      <c r="X67" s="57">
        <f t="shared" si="9"/>
        <v>4325</v>
      </c>
      <c r="Y67" s="7">
        <f t="shared" si="17"/>
        <v>0</v>
      </c>
      <c r="Z67" s="21"/>
    </row>
    <row r="68" spans="3:26" ht="12.75">
      <c r="C68" s="22"/>
      <c r="D68" s="96"/>
      <c r="F68" s="96"/>
      <c r="G68" s="21"/>
      <c r="I68" s="96"/>
      <c r="K68" s="96"/>
      <c r="L68" s="21"/>
      <c r="N68" s="96"/>
      <c r="P68" s="96"/>
      <c r="Q68" s="21"/>
      <c r="S68" s="96"/>
      <c r="U68" s="96"/>
      <c r="V68" s="21"/>
      <c r="W68" s="96"/>
      <c r="X68" s="96"/>
      <c r="Z68" s="21"/>
    </row>
    <row r="69" spans="1:26" ht="12.75">
      <c r="A69" s="40" t="s">
        <v>14</v>
      </c>
      <c r="B69" s="47">
        <f aca="true" t="shared" si="19" ref="B69:Q69">SUM(B31:B68)</f>
        <v>2704858</v>
      </c>
      <c r="C69" s="47">
        <f t="shared" si="19"/>
        <v>2434372.1999999997</v>
      </c>
      <c r="D69" s="46">
        <f t="shared" si="19"/>
        <v>256000.09501835058</v>
      </c>
      <c r="E69" s="47">
        <f t="shared" si="19"/>
        <v>270485.79999999993</v>
      </c>
      <c r="F69" s="46">
        <f t="shared" si="19"/>
        <v>28444.45500203895</v>
      </c>
      <c r="G69" s="47">
        <f t="shared" si="19"/>
        <v>2420413.4499796103</v>
      </c>
      <c r="H69" s="47">
        <f t="shared" si="19"/>
        <v>1829268.8375050973</v>
      </c>
      <c r="I69" s="46">
        <f t="shared" si="19"/>
        <v>359146.09901694034</v>
      </c>
      <c r="J69" s="47">
        <f t="shared" si="19"/>
        <v>55540.15599924066</v>
      </c>
      <c r="K69" s="46">
        <f t="shared" si="19"/>
        <v>83984.61100127961</v>
      </c>
      <c r="L69" s="47">
        <f t="shared" si="19"/>
        <v>2261727.2899817796</v>
      </c>
      <c r="M69" s="47">
        <f t="shared" si="19"/>
        <v>1716182.4730060082</v>
      </c>
      <c r="N69" s="46">
        <f t="shared" si="19"/>
        <v>440224.4293968057</v>
      </c>
      <c r="O69" s="47">
        <f t="shared" si="19"/>
        <v>54052.22025324357</v>
      </c>
      <c r="P69" s="46">
        <f t="shared" si="19"/>
        <v>138036.8312545232</v>
      </c>
      <c r="Q69" s="47">
        <f t="shared" si="19"/>
        <v>2126596.739348671</v>
      </c>
      <c r="R69" s="47">
        <f aca="true" t="shared" si="20" ref="R69:Y69">SUM(R31:R68)</f>
        <v>1609852.6360385749</v>
      </c>
      <c r="S69" s="46">
        <f t="shared" si="20"/>
        <v>615708.6981890734</v>
      </c>
      <c r="T69" s="47">
        <f t="shared" si="20"/>
        <v>143578.03810276446</v>
      </c>
      <c r="U69" s="46">
        <f t="shared" si="20"/>
        <v>281614.86935728765</v>
      </c>
      <c r="V69" s="47">
        <f t="shared" si="20"/>
        <v>1807534.4324536386</v>
      </c>
      <c r="W69" s="46">
        <f t="shared" si="20"/>
        <v>1519475.9144158927</v>
      </c>
      <c r="X69" s="46">
        <f t="shared" si="20"/>
        <v>1185382.0855841069</v>
      </c>
      <c r="Y69" s="47">
        <f t="shared" si="20"/>
        <v>0</v>
      </c>
      <c r="Z69" s="21"/>
    </row>
    <row r="70" spans="2:26" ht="12.75">
      <c r="B70" s="95" t="str">
        <f>B28</f>
        <v>Total</v>
      </c>
      <c r="C70" s="112" t="str">
        <f>C27</f>
        <v>Preferred Return</v>
      </c>
      <c r="D70" s="113"/>
      <c r="E70" s="113"/>
      <c r="F70" s="114"/>
      <c r="G70" s="115" t="str">
        <f>G27</f>
        <v>Hurdle 1</v>
      </c>
      <c r="H70" s="116"/>
      <c r="I70" s="116"/>
      <c r="J70" s="116"/>
      <c r="K70" s="117"/>
      <c r="L70" s="112" t="str">
        <f>L27</f>
        <v>Hurdle 2</v>
      </c>
      <c r="M70" s="113"/>
      <c r="N70" s="113"/>
      <c r="O70" s="113"/>
      <c r="P70" s="114"/>
      <c r="Q70" s="115" t="str">
        <f>Q27</f>
        <v>Hurdle 3</v>
      </c>
      <c r="R70" s="116"/>
      <c r="S70" s="116"/>
      <c r="T70" s="116"/>
      <c r="U70" s="117"/>
      <c r="V70" s="112" t="str">
        <f>V27</f>
        <v>Final Split</v>
      </c>
      <c r="W70" s="113"/>
      <c r="X70" s="113"/>
      <c r="Y70" s="114"/>
      <c r="Z70" s="21"/>
    </row>
    <row r="71" spans="1:26" ht="12.75">
      <c r="A71" s="81" t="s">
        <v>22</v>
      </c>
      <c r="B71" s="65"/>
      <c r="C71" s="66"/>
      <c r="D71" s="67">
        <f>NPV($F$7,D32:D67)+D31</f>
        <v>0</v>
      </c>
      <c r="E71" s="65"/>
      <c r="F71" s="67">
        <f>NPV($F$7,F32:F67)+F31</f>
        <v>0</v>
      </c>
      <c r="G71" s="74"/>
      <c r="H71" s="65"/>
      <c r="I71" s="67">
        <f>NPV($F$12,I32:I67)+I31</f>
        <v>0</v>
      </c>
      <c r="J71" s="65"/>
      <c r="K71" s="67"/>
      <c r="L71" s="74"/>
      <c r="M71" s="65"/>
      <c r="N71" s="67">
        <f>NPV($F$16,N32:N67)+N31</f>
        <v>0</v>
      </c>
      <c r="O71" s="65"/>
      <c r="P71" s="65"/>
      <c r="Q71" s="74"/>
      <c r="R71" s="65"/>
      <c r="S71" s="67">
        <f>NPV($F$19,S32:S67)+S31</f>
        <v>0</v>
      </c>
      <c r="T71" s="65"/>
      <c r="U71" s="65"/>
      <c r="V71" s="74"/>
      <c r="W71" s="65"/>
      <c r="X71" s="65"/>
      <c r="Y71" s="75"/>
      <c r="Z71" s="21"/>
    </row>
    <row r="72" spans="1:26" ht="12.75">
      <c r="A72" s="81" t="s">
        <v>23</v>
      </c>
      <c r="B72" s="68">
        <f>IRR(B31:B67,)</f>
        <v>0.04215261465905806</v>
      </c>
      <c r="C72" s="69"/>
      <c r="D72" s="68">
        <f>IRR(D31:D67,)</f>
        <v>0.00873459382355174</v>
      </c>
      <c r="E72" s="70"/>
      <c r="F72" s="68">
        <f>IRR(F31:F67,)</f>
        <v>0.00873459382355163</v>
      </c>
      <c r="G72" s="76"/>
      <c r="H72" s="70"/>
      <c r="I72" s="68">
        <f>IRR(I31:I67,)</f>
        <v>0.01171491691985344</v>
      </c>
      <c r="J72" s="70"/>
      <c r="K72" s="68">
        <f>IRR(K31:K67,)</f>
        <v>0.021316861124902563</v>
      </c>
      <c r="L72" s="76"/>
      <c r="M72" s="70"/>
      <c r="N72" s="68">
        <f>IRR(N31:N67,)</f>
        <v>0.013888430348409917</v>
      </c>
      <c r="O72" s="70"/>
      <c r="P72" s="68">
        <f>IRR(P31:P67,)</f>
        <v>0.030425139295579308</v>
      </c>
      <c r="Q72" s="76"/>
      <c r="R72" s="70"/>
      <c r="S72" s="68">
        <f>IRR(S31:S67,)</f>
        <v>0.01808758248351074</v>
      </c>
      <c r="T72" s="70"/>
      <c r="U72" s="68">
        <f>IRR(U31:U67,)</f>
        <v>0.04671573644573633</v>
      </c>
      <c r="V72" s="77"/>
      <c r="W72" s="68">
        <f>IRR(W31:W67,)</f>
        <v>0.03226213169171835</v>
      </c>
      <c r="X72" s="68">
        <f>IRR(X31:X67,)</f>
        <v>0.0821989047320467</v>
      </c>
      <c r="Y72" s="78"/>
      <c r="Z72" s="21"/>
    </row>
    <row r="73" spans="1:26" ht="12.75">
      <c r="A73" s="81" t="s">
        <v>24</v>
      </c>
      <c r="B73" s="71">
        <f>((1+B72)^12)-1</f>
        <v>0.6412542723378911</v>
      </c>
      <c r="C73" s="72"/>
      <c r="D73" s="71">
        <f>((1+D72)^12)-1</f>
        <v>0.10999999999999677</v>
      </c>
      <c r="E73" s="73"/>
      <c r="F73" s="71">
        <f>((1+F72)^12)-1</f>
        <v>0.10999999999999677</v>
      </c>
      <c r="G73" s="79"/>
      <c r="H73" s="73"/>
      <c r="I73" s="71">
        <f>((1+I72)^12)-1</f>
        <v>0.15000000000000147</v>
      </c>
      <c r="J73" s="73"/>
      <c r="K73" s="71">
        <f>((1+K72)^12)-1</f>
        <v>0.28803012871124944</v>
      </c>
      <c r="L73" s="79"/>
      <c r="M73" s="73"/>
      <c r="N73" s="71">
        <f>((1+N72)^12)-1</f>
        <v>0.17999999999999816</v>
      </c>
      <c r="O73" s="73"/>
      <c r="P73" s="71">
        <f>((1+P72)^12)-1</f>
        <v>0.4328388471433997</v>
      </c>
      <c r="Q73" s="79"/>
      <c r="R73" s="73"/>
      <c r="S73" s="71">
        <f>((1+S72)^12)-1</f>
        <v>0.24000000000000132</v>
      </c>
      <c r="T73" s="73"/>
      <c r="U73" s="71">
        <f>((1+U72)^12)-1</f>
        <v>0.7295974702699124</v>
      </c>
      <c r="V73" s="79"/>
      <c r="W73" s="71">
        <f>((1+W72)^12)-1</f>
        <v>0.46379394926793616</v>
      </c>
      <c r="X73" s="71">
        <f>((1+X72)^12)-1</f>
        <v>1.5803883988871856</v>
      </c>
      <c r="Y73" s="80"/>
      <c r="Z73" s="21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  <row r="152" ht="12.75">
      <c r="C152" s="8"/>
    </row>
    <row r="153" ht="12.75">
      <c r="C153" s="8"/>
    </row>
    <row r="154" ht="12.75">
      <c r="C154" s="8"/>
    </row>
    <row r="155" ht="12.75">
      <c r="C155" s="8"/>
    </row>
    <row r="156" ht="12.75">
      <c r="C156" s="8"/>
    </row>
    <row r="157" ht="12.75">
      <c r="C157" s="8"/>
    </row>
    <row r="158" ht="12.75">
      <c r="C158" s="8"/>
    </row>
    <row r="159" ht="12.75">
      <c r="C159" s="8"/>
    </row>
    <row r="160" ht="12.75">
      <c r="C160" s="8"/>
    </row>
    <row r="161" ht="12.75">
      <c r="C161" s="8"/>
    </row>
    <row r="162" ht="12.75">
      <c r="C162" s="8"/>
    </row>
    <row r="163" ht="12.75">
      <c r="C163" s="8"/>
    </row>
    <row r="164" ht="12.75">
      <c r="C164" s="8"/>
    </row>
    <row r="165" ht="12.75">
      <c r="C165" s="8"/>
    </row>
    <row r="166" ht="12.75">
      <c r="C166" s="8"/>
    </row>
    <row r="167" ht="12.75">
      <c r="C167" s="8"/>
    </row>
    <row r="168" ht="12.75">
      <c r="C168" s="8"/>
    </row>
    <row r="169" ht="12.75">
      <c r="C169" s="8"/>
    </row>
    <row r="170" ht="12.75">
      <c r="C170" s="8"/>
    </row>
    <row r="171" ht="12.75">
      <c r="C171" s="8"/>
    </row>
    <row r="172" ht="12.75">
      <c r="C172" s="8"/>
    </row>
    <row r="173" ht="12.75">
      <c r="C173" s="8"/>
    </row>
    <row r="174" ht="12.75">
      <c r="C174" s="8"/>
    </row>
    <row r="175" ht="12.75">
      <c r="C175" s="8"/>
    </row>
    <row r="176" ht="12.75">
      <c r="C176" s="8"/>
    </row>
    <row r="177" ht="12.75">
      <c r="C177" s="8"/>
    </row>
    <row r="178" ht="12.75">
      <c r="C178" s="8"/>
    </row>
    <row r="179" ht="12.75">
      <c r="C179" s="8"/>
    </row>
    <row r="180" ht="12.75">
      <c r="C180" s="8"/>
    </row>
    <row r="181" ht="12.75">
      <c r="C181" s="8"/>
    </row>
    <row r="182" ht="12.75">
      <c r="C182" s="8"/>
    </row>
  </sheetData>
  <sheetProtection/>
  <mergeCells count="16">
    <mergeCell ref="J5:M5"/>
    <mergeCell ref="J7:K7"/>
    <mergeCell ref="L7:M7"/>
    <mergeCell ref="C27:F27"/>
    <mergeCell ref="G27:K27"/>
    <mergeCell ref="L27:P27"/>
    <mergeCell ref="F3:I3"/>
    <mergeCell ref="Q27:U27"/>
    <mergeCell ref="V27:Y27"/>
    <mergeCell ref="L6:M6"/>
    <mergeCell ref="J6:K6"/>
    <mergeCell ref="C70:F70"/>
    <mergeCell ref="G70:K70"/>
    <mergeCell ref="L70:P70"/>
    <mergeCell ref="Q70:U70"/>
    <mergeCell ref="V70:Y70"/>
  </mergeCells>
  <hyperlinks>
    <hyperlink ref="F3" r:id="rId1" display="http://www.globaliconnect.com/excel_models.php"/>
  </hyperlinks>
  <printOptions/>
  <pageMargins left="0.7" right="0.7" top="0.75" bottom="0.75" header="0.3" footer="0.3"/>
  <pageSetup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Tandon</dc:creator>
  <cp:keywords/>
  <dc:description/>
  <cp:lastModifiedBy>Amit Tandon</cp:lastModifiedBy>
  <dcterms:created xsi:type="dcterms:W3CDTF">2010-03-03T06:34:16Z</dcterms:created>
  <dcterms:modified xsi:type="dcterms:W3CDTF">2010-12-21T12:54:18Z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